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ttps://atos365-my.sharepoint.com/personal/valme_martin_atos_net/Documents/Documentos/MADRID DIGITAL/01. Sitios Web/01-01. Entregadas/01 - No conformes/5331 - ELECCIONES/"/>
    </mc:Choice>
  </mc:AlternateContent>
  <xr:revisionPtr revIDLastSave="187" documentId="8_{05CD0BE6-39F3-4AD5-B88B-8CD472504139}" xr6:coauthVersionLast="47" xr6:coauthVersionMax="47" xr10:uidLastSave="{4992A76F-E9B8-4AB1-A286-98F45A907E52}"/>
  <bookViews>
    <workbookView xWindow="-108" yWindow="-108" windowWidth="23256" windowHeight="12456" tabRatio="808" firstSheet="4"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CG20" i="9" l="1"/>
  <c r="DC3" i="19" s="1"/>
  <c r="D157" i="14"/>
  <c r="D238" i="5"/>
  <c r="D1165" i="21"/>
  <c r="D139" i="21"/>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S35" i="9" a="1"/>
  <c r="J35" i="9" a="1"/>
  <c r="AP24" i="9" a="1"/>
  <c r="BY30" i="9" a="1"/>
  <c r="BC23" i="9" a="1"/>
  <c r="BY31" i="9" a="1"/>
  <c r="BI32" i="9" a="1"/>
  <c r="BY36" i="9" a="1"/>
  <c r="BD33" i="9" a="1"/>
  <c r="BY24" i="9" a="1"/>
  <c r="T24" i="9" a="1"/>
  <c r="H29" i="9" a="1"/>
  <c r="BE37" i="9" a="1"/>
  <c r="BR31" i="9" a="1"/>
  <c r="AZ27" i="9" a="1"/>
  <c r="BR32" i="9" a="1"/>
  <c r="BL29" i="9" a="1"/>
  <c r="CJ24" i="9" a="1"/>
  <c r="BC27" i="9" a="1"/>
  <c r="J27" i="9" a="1"/>
  <c r="BN34" i="9" a="1"/>
  <c r="BY35" i="9" a="1"/>
  <c r="CH36" i="9" a="1"/>
  <c r="AJ31" i="9" a="1"/>
  <c r="CN25" i="9" a="1"/>
  <c r="AP28" i="9" a="1"/>
  <c r="CM29" i="9" a="1"/>
  <c r="AC30" i="9" a="1"/>
  <c r="BH20" i="9" a="1"/>
  <c r="BW37" i="9" a="1"/>
  <c r="AN34" i="9" a="1"/>
  <c r="CA23" i="9" a="1"/>
  <c r="R35" i="9" a="1"/>
  <c r="BE35" i="9" a="1"/>
  <c r="BT36" i="9" a="1"/>
  <c r="AV23" i="9" a="1"/>
  <c r="BX28" i="9" a="1"/>
  <c r="BG32" i="9" a="1"/>
  <c r="AH39" i="9" a="1"/>
  <c r="BO31" i="9" a="1"/>
  <c r="AG22" i="9" a="1"/>
  <c r="K248" i="14"/>
  <c r="CK26" i="9" a="1"/>
  <c r="BQ22" i="9" a="1"/>
  <c r="BC26" i="9" a="1"/>
  <c r="AY35" i="9" a="1"/>
  <c r="BK28" i="9" a="1"/>
  <c r="V35" i="9" a="1"/>
  <c r="P31" i="9" a="1"/>
  <c r="BG31" i="9" a="1"/>
  <c r="J29" i="9" a="1"/>
  <c r="E28" i="9" a="1"/>
  <c r="CD39" i="9" a="1"/>
  <c r="BS34" i="9" a="1"/>
  <c r="Q29" i="9" a="1"/>
  <c r="K58" i="15"/>
  <c r="CO22" i="9" a="1"/>
  <c r="BX34" i="9" a="1"/>
  <c r="T31" i="9" a="1"/>
  <c r="AC31" i="9" a="1"/>
  <c r="CF21" i="9" a="1"/>
  <c r="BS22" i="9" a="1"/>
  <c r="BV30" i="9" a="1"/>
  <c r="BA38" i="9" a="1"/>
  <c r="CK36" i="9" a="1"/>
  <c r="CH28" i="9" a="1"/>
  <c r="CP22" i="9" a="1"/>
  <c r="CI28" i="9" a="1"/>
  <c r="AH29" i="9" a="1"/>
  <c r="BE29" i="9" a="1"/>
  <c r="CO39" i="9" a="1"/>
  <c r="CH27" i="9" a="1"/>
  <c r="AH35" i="9" a="1"/>
  <c r="CJ35" i="9" a="1"/>
  <c r="CJ36" i="9" a="1"/>
  <c r="K1198" i="22"/>
  <c r="BT31" i="9" a="1"/>
  <c r="CM27" i="9" a="1"/>
  <c r="AQ26" i="9" a="1"/>
  <c r="AW34" i="9" a="1"/>
  <c r="BI26" i="9" a="1"/>
  <c r="BP39" i="9" a="1"/>
  <c r="BH27" i="9" a="1"/>
  <c r="BK34" i="9" a="1"/>
  <c r="BC31" i="9" a="1"/>
  <c r="AH27" i="9" a="1"/>
  <c r="BG22" i="9" a="1"/>
  <c r="K96" i="22"/>
  <c r="L20" i="9" a="1"/>
  <c r="AI32" i="9" a="1"/>
  <c r="Y25" i="9" a="1"/>
  <c r="AV30" i="9" a="1"/>
  <c r="N22" i="9" a="1"/>
  <c r="Q25" i="9" a="1"/>
  <c r="AM25" i="9" a="1"/>
  <c r="AD23" i="9" a="1"/>
  <c r="AU29" i="9" a="1"/>
  <c r="AR24" i="9" a="1"/>
  <c r="AT36" i="9" a="1"/>
  <c r="AB22" i="9" a="1"/>
  <c r="AQ29" i="9" a="1"/>
  <c r="N37" i="9" a="1"/>
  <c r="CN37" i="9" a="1"/>
  <c r="CO20" i="9" a="1"/>
  <c r="AH28" i="9" a="1"/>
  <c r="AC39" i="9" a="1"/>
  <c r="AK27" i="9" a="1"/>
  <c r="V37" i="9" a="1"/>
  <c r="CK33" i="9" a="1"/>
  <c r="AP27" i="9" a="1"/>
  <c r="BK35" i="9" a="1"/>
  <c r="BT24" i="9" a="1"/>
  <c r="BI36" i="9" a="1"/>
  <c r="AP31" i="9" a="1"/>
  <c r="CE26" i="9" a="1"/>
  <c r="Y36" i="9" a="1"/>
  <c r="BD34" i="9" a="1"/>
  <c r="AT22" i="9" a="1"/>
  <c r="U30" i="9" a="1"/>
  <c r="CR34" i="9" a="1"/>
  <c r="BR26" i="9" a="1"/>
  <c r="BA22" i="9" a="1"/>
  <c r="BP26" i="9" a="1"/>
  <c r="J36" i="9" a="1"/>
  <c r="G31" i="9" a="1"/>
  <c r="N25" i="9" a="1"/>
  <c r="AP20" i="9" a="1"/>
  <c r="BJ20" i="9" a="1"/>
  <c r="AQ28" i="9" a="1"/>
  <c r="AM32" i="9" a="1"/>
  <c r="AI39" i="9" a="1"/>
  <c r="BW39" i="9" a="1"/>
  <c r="U35" i="9" a="1"/>
  <c r="AQ30" i="9" a="1"/>
  <c r="AA30" i="9" a="1"/>
  <c r="BN31" i="9" a="1"/>
  <c r="AK33" i="9" a="1"/>
  <c r="AI35" i="9" a="1"/>
  <c r="I28" i="9" a="1"/>
  <c r="BI30" i="9" a="1"/>
  <c r="CF31" i="9" a="1"/>
  <c r="X35" i="9" a="1"/>
  <c r="W31" i="9" a="1"/>
  <c r="AG24" i="9" a="1"/>
  <c r="AZ29" i="9" a="1"/>
  <c r="CI35" i="9" a="1"/>
  <c r="I38" i="9" a="1"/>
  <c r="BR36" i="9" a="1"/>
  <c r="AU24" i="9" a="1"/>
  <c r="BC32" i="9" a="1"/>
  <c r="AV35" i="9" a="1"/>
  <c r="BL31" i="9" a="1"/>
  <c r="BW30" i="9" a="1"/>
  <c r="CO34" i="9" a="1"/>
  <c r="U24" i="9" a="1"/>
  <c r="K818" i="22"/>
  <c r="N38" i="9" a="1"/>
  <c r="U25" i="9" a="1"/>
  <c r="R36" i="9" a="1"/>
  <c r="CR20" i="9" a="1"/>
  <c r="N30" i="9" a="1"/>
  <c r="S23" i="9" a="1"/>
  <c r="Z38" i="9" a="1"/>
  <c r="AO32" i="9" a="1"/>
  <c r="CB34" i="9" a="1"/>
  <c r="BN39" i="9" a="1"/>
  <c r="AR26" i="9" a="1"/>
  <c r="BK33" i="9" a="1"/>
  <c r="BL36" i="9" a="1"/>
  <c r="AT21" i="9" a="1"/>
  <c r="AL33" i="9" a="1"/>
  <c r="Z34" i="9" a="1"/>
  <c r="CI32" i="9" a="1"/>
  <c r="BV20" i="9" a="1"/>
  <c r="BU28" i="9" a="1"/>
  <c r="CE31" i="9" a="1"/>
  <c r="BL38" i="9" a="1"/>
  <c r="Z24" i="9" a="1"/>
  <c r="BV23" i="9" a="1"/>
  <c r="BB32" i="9" a="1"/>
  <c r="CR31" i="9" a="1"/>
  <c r="CQ34" i="9" a="1"/>
  <c r="AY38" i="9" a="1"/>
  <c r="V25" i="9" a="1"/>
  <c r="E22" i="9" a="1"/>
  <c r="BM22" i="9" a="1"/>
  <c r="BW33" i="9" a="1"/>
  <c r="AY37" i="9" a="1"/>
  <c r="CF32" i="9" a="1"/>
  <c r="CH38" i="9" a="1"/>
  <c r="BH33" i="9" a="1"/>
  <c r="AX38" i="9" a="1"/>
  <c r="S36" i="9" a="1"/>
  <c r="U23" i="9" a="1"/>
  <c r="BO39" i="9" a="1"/>
  <c r="W24" i="9" a="1"/>
  <c r="J37" i="9" a="1"/>
  <c r="CB27" i="9" a="1"/>
  <c r="CC21" i="9" a="1"/>
  <c r="CF36" i="9" a="1"/>
  <c r="I22" i="9" a="1"/>
  <c r="AM38" i="9" a="1"/>
  <c r="R39" i="9" a="1"/>
  <c r="CG25" i="9" a="1"/>
  <c r="O21" i="9" a="1"/>
  <c r="P28" i="9" a="1"/>
  <c r="AY28" i="9" a="1"/>
  <c r="BW26" i="9" a="1"/>
  <c r="BF23" i="9" a="1"/>
  <c r="BI39" i="9" a="1"/>
  <c r="BH22" i="9" a="1"/>
  <c r="CK35" i="9" a="1"/>
  <c r="BO20" i="9" a="1"/>
  <c r="Z22" i="9" a="1"/>
  <c r="AN29" i="9" a="1"/>
  <c r="BA32" i="9" a="1"/>
  <c r="AA29" i="9" a="1"/>
  <c r="I23" i="9" a="1"/>
  <c r="AG26" i="9" a="1"/>
  <c r="CA35" i="9" a="1"/>
  <c r="G38" i="9" a="1"/>
  <c r="AZ35" i="9" a="1"/>
  <c r="AD35" i="9" a="1"/>
  <c r="BJ26" i="9" a="1"/>
  <c r="AE31" i="9" a="1"/>
  <c r="BW20" i="9" a="1"/>
  <c r="S38" i="9" a="1"/>
  <c r="AB32" i="9" a="1"/>
  <c r="W32" i="9" a="1"/>
  <c r="CP36" i="9" a="1"/>
  <c r="BR38" i="9" a="1"/>
  <c r="CL24" i="9" a="1"/>
  <c r="CR27" i="9" a="1"/>
  <c r="CG28" i="9" a="1"/>
  <c r="AA22" i="9" a="1"/>
  <c r="H22" i="9" a="1"/>
  <c r="AA24" i="9" a="1"/>
  <c r="O28" i="9" a="1"/>
  <c r="BU31" i="9" a="1"/>
  <c r="T23" i="9" a="1"/>
  <c r="CN23" i="9" a="1"/>
  <c r="CQ29" i="9" a="1"/>
  <c r="AP37" i="9" a="1"/>
  <c r="AM31" i="9" a="1"/>
  <c r="BC25" i="9" a="1"/>
  <c r="BW38" i="9" a="1"/>
  <c r="BY37" i="9" a="1"/>
  <c r="CI37" i="9" a="1"/>
  <c r="BZ28" i="9" a="1"/>
  <c r="BD23" i="9" a="1"/>
  <c r="CN27" i="9" a="1"/>
  <c r="AN33" i="9" a="1"/>
  <c r="AZ24" i="9" a="1"/>
  <c r="AW25" i="9" a="1"/>
  <c r="AU36" i="9" a="1"/>
  <c r="AD39" i="9" a="1"/>
  <c r="AU37" i="9" a="1"/>
  <c r="AB28" i="9" a="1"/>
  <c r="BM35" i="9" a="1"/>
  <c r="BR23" i="9" a="1"/>
  <c r="BQ36" i="9" a="1"/>
  <c r="AJ30" i="9" a="1"/>
  <c r="AF34" i="9" a="1"/>
  <c r="CN33" i="9" a="1"/>
  <c r="J33" i="9" a="1"/>
  <c r="H37" i="9" a="1"/>
  <c r="CE22" i="9" a="1"/>
  <c r="BR25" i="9" a="1"/>
  <c r="AZ34" i="9" a="1"/>
  <c r="CI30" i="9" a="1"/>
  <c r="BG35" i="9" a="1"/>
  <c r="AY22" i="9" a="1"/>
  <c r="CD22" i="9" a="1"/>
  <c r="AX24" i="9" a="1"/>
  <c r="G25" i="9" a="1"/>
  <c r="R27" i="9" a="1"/>
  <c r="BW32" i="9" a="1"/>
  <c r="AX34" i="9" a="1"/>
  <c r="BF20" i="9" a="1"/>
  <c r="AD30" i="9" a="1"/>
  <c r="CN39" i="9" a="1"/>
  <c r="AY23" i="9" a="1"/>
  <c r="AM36" i="9" a="1"/>
  <c r="BS38" i="9" a="1"/>
  <c r="BT23" i="9" a="1"/>
  <c r="R38" i="9" a="1"/>
  <c r="CP27" i="9" a="1"/>
  <c r="AC34" i="9" a="1"/>
  <c r="E32" i="9" a="1"/>
  <c r="BL24" i="9" a="1"/>
  <c r="X27" i="9" a="1"/>
  <c r="V27" i="9" a="1"/>
  <c r="AL34" i="9" a="1"/>
  <c r="BS29" i="9" a="1"/>
  <c r="BN26" i="9" a="1"/>
  <c r="CM36" i="9" a="1"/>
  <c r="BE23" i="9" a="1"/>
  <c r="CQ33" i="9" a="1"/>
  <c r="AQ23" i="9" a="1"/>
  <c r="BU22" i="9" a="1"/>
  <c r="CR33" i="9" a="1"/>
  <c r="AR23" i="9" a="1"/>
  <c r="AG31" i="9" a="1"/>
  <c r="F27" i="9" a="1"/>
  <c r="N39" i="9" a="1"/>
  <c r="Z32" i="9" a="1"/>
  <c r="BV34" i="9" a="1"/>
  <c r="T29" i="9" a="1"/>
  <c r="F38" i="9" a="1"/>
  <c r="X33" i="9" a="1"/>
  <c r="AA26" i="9" a="1"/>
  <c r="AK39" i="9" a="1"/>
  <c r="BR39" i="9" a="1"/>
  <c r="BV26" i="9" a="1"/>
  <c r="BA28" i="9" a="1"/>
  <c r="M35" i="9" a="1"/>
  <c r="V31" i="9" a="1"/>
  <c r="BU36" i="9" a="1"/>
  <c r="L21" i="9" a="1"/>
  <c r="BK27" i="9" a="1"/>
  <c r="K20" i="13"/>
  <c r="AR37" i="9" a="1"/>
  <c r="K39" i="9" a="1"/>
  <c r="AM24" i="9" a="1"/>
  <c r="CC27" i="9" a="1"/>
  <c r="AB33" i="9" a="1"/>
  <c r="CD35" i="9" a="1"/>
  <c r="AX31" i="9" a="1"/>
  <c r="BG34" i="9" a="1"/>
  <c r="BI28" i="9" a="1"/>
  <c r="L27" i="9" a="1"/>
  <c r="K552" i="22"/>
  <c r="CL32" i="9" a="1"/>
  <c r="AT23" i="9" a="1"/>
  <c r="BI22" i="9" a="1"/>
  <c r="E30" i="9" a="1"/>
  <c r="CE28" i="9" a="1"/>
  <c r="U22" i="9" a="1"/>
  <c r="BQ29" i="9" a="1"/>
  <c r="CQ39" i="9" a="1"/>
  <c r="CP21" i="9" a="1"/>
  <c r="CH26" i="9" a="1"/>
  <c r="BM36" i="9" a="1"/>
  <c r="CQ30" i="9" a="1"/>
  <c r="AJ24" i="9" a="1"/>
  <c r="BB28" i="9" a="1"/>
  <c r="AO24" i="9" a="1"/>
  <c r="AC26" i="9" a="1"/>
  <c r="BL35" i="9" a="1"/>
  <c r="BY27" i="9" a="1"/>
  <c r="AZ28" i="9" a="1"/>
  <c r="CK32" i="9" a="1"/>
  <c r="BS28" i="9" a="1"/>
  <c r="H39" i="9" a="1"/>
  <c r="BD31" i="9" a="1"/>
  <c r="K1312" i="22"/>
  <c r="L28" i="9" a="1"/>
  <c r="BQ39" i="9" a="1"/>
  <c r="BB30" i="9" a="1"/>
  <c r="AL36" i="9" a="1"/>
  <c r="CN20" i="9" a="1"/>
  <c r="BI24" i="9" a="1"/>
  <c r="BX37" i="9" a="1"/>
  <c r="AE37" i="9" a="1"/>
  <c r="O35" i="9" a="1"/>
  <c r="CD33" i="9" a="1"/>
  <c r="CC35" i="9" a="1"/>
  <c r="H32" i="9" a="1"/>
  <c r="CG37" i="9" a="1"/>
  <c r="AI36" i="9" a="1"/>
  <c r="BQ20" i="9" a="1"/>
  <c r="AS22" i="9" a="1"/>
  <c r="AC38" i="9" a="1"/>
  <c r="BX24" i="9" a="1"/>
  <c r="BW28" i="9" a="1"/>
  <c r="CH39" i="9" a="1"/>
  <c r="BP36" i="9" a="1"/>
  <c r="AL31" i="9" a="1"/>
  <c r="BP28" i="9" a="1"/>
  <c r="I27" i="9" a="1"/>
  <c r="AE25" i="9" a="1"/>
  <c r="BX26" i="9" a="1"/>
  <c r="V33" i="9" a="1"/>
  <c r="AM35" i="9" a="1"/>
  <c r="BG28" i="9" a="1"/>
  <c r="O23" i="9" a="1"/>
  <c r="H28" i="9" a="1"/>
  <c r="BJ31" i="9" a="1"/>
  <c r="AA35" i="9" a="1"/>
  <c r="CQ32" i="9" a="1"/>
  <c r="X24" i="9" a="1"/>
  <c r="BK25" i="9" a="1"/>
  <c r="W34" i="9" a="1"/>
  <c r="CB31" i="9" a="1"/>
  <c r="BR27" i="9" a="1"/>
  <c r="CQ22" i="9" a="1"/>
  <c r="AR22" i="9" a="1"/>
  <c r="J26" i="9" a="1"/>
  <c r="CN36" i="9" a="1"/>
  <c r="AJ39" i="9" a="1"/>
  <c r="AF35" i="9" a="1"/>
  <c r="T36" i="9" a="1"/>
  <c r="AR28" i="9" a="1"/>
  <c r="AG34" i="9" a="1"/>
  <c r="CQ31" i="9" a="1"/>
  <c r="E29" i="9" a="1"/>
  <c r="BF26" i="9" a="1"/>
  <c r="F22" i="9" a="1"/>
  <c r="CC31" i="9" a="1"/>
  <c r="AF27" i="9" a="1"/>
  <c r="BW27" i="9" a="1"/>
  <c r="BJ37" i="9" a="1"/>
  <c r="K248" i="15"/>
  <c r="Z27" i="9" a="1"/>
  <c r="AY29" i="9" a="1"/>
  <c r="BZ37" i="9" a="1"/>
  <c r="R26" i="9" a="1"/>
  <c r="CO26" i="9" a="1"/>
  <c r="BO24" i="9" a="1"/>
  <c r="Y39" i="9" a="1"/>
  <c r="CN35" i="9" a="1"/>
  <c r="AN27" i="9" a="1"/>
  <c r="AG32" i="9" a="1"/>
  <c r="CR25" i="9" a="1"/>
  <c r="CN29" i="9" a="1"/>
  <c r="AC33" i="9" a="1"/>
  <c r="M20" i="9" a="1"/>
  <c r="CN38" i="9" a="1"/>
  <c r="AX25" i="9" a="1"/>
  <c r="I24" i="9" a="1"/>
  <c r="AT24" i="9" a="1"/>
  <c r="AP23" i="9" a="1"/>
  <c r="F20" i="9" a="1"/>
  <c r="AJ28" i="9" a="1"/>
  <c r="AW37" i="9" a="1"/>
  <c r="AX27" i="9" a="1"/>
  <c r="K32" i="9" a="1"/>
  <c r="CG24" i="9" a="1"/>
  <c r="K25" i="9" a="1"/>
  <c r="CF29" i="9" a="1"/>
  <c r="BB33" i="9" a="1"/>
  <c r="O26" i="9" a="1"/>
  <c r="BF31" i="9" a="1"/>
  <c r="CO28" i="9" a="1"/>
  <c r="BU38" i="9" a="1"/>
  <c r="BO26" i="9" a="1"/>
  <c r="BE27" i="9" a="1"/>
  <c r="X29" i="9" a="1"/>
  <c r="K35" i="9" a="1"/>
  <c r="BG21" i="9" a="1"/>
  <c r="V20" i="9" a="1"/>
  <c r="BL37" i="9" a="1"/>
  <c r="S32" i="9" a="1"/>
  <c r="X38" i="9" a="1"/>
  <c r="CD27" i="9" a="1"/>
  <c r="H35" i="9" a="1"/>
  <c r="AQ24" i="9" a="1"/>
  <c r="BH36" i="9" a="1"/>
  <c r="J22" i="9" a="1"/>
  <c r="AJ27" i="9" a="1"/>
  <c r="AS36" i="9" a="1"/>
  <c r="BU30" i="9" a="1"/>
  <c r="BO37" i="9" a="1"/>
  <c r="AO25" i="9" a="1"/>
  <c r="BM23" i="9" a="1"/>
  <c r="F26" i="9" a="1"/>
  <c r="AQ38" i="9" a="1"/>
  <c r="BS39" i="9" a="1"/>
  <c r="Y37" i="9" a="1"/>
  <c r="BW36" i="9" a="1"/>
  <c r="BA21" i="9" a="1"/>
  <c r="S24" i="9" a="1"/>
  <c r="CP31" i="9" a="1"/>
  <c r="X22" i="9" a="1"/>
  <c r="E36" i="9" a="1"/>
  <c r="CA29" i="9" a="1"/>
  <c r="AX35" i="9" a="1"/>
  <c r="H26" i="9" a="1"/>
  <c r="BC29" i="9" a="1"/>
  <c r="AU32" i="9" a="1"/>
  <c r="BZ23" i="9" a="1"/>
  <c r="AW39" i="9" a="1"/>
  <c r="AP35" i="9" a="1"/>
  <c r="BJ24" i="9" a="1"/>
  <c r="BU39" i="9" a="1"/>
  <c r="W28" i="9" a="1"/>
  <c r="BJ34" i="9" a="1"/>
  <c r="Q35" i="9" a="1"/>
  <c r="K96" i="5"/>
  <c r="AM23" i="9" a="1"/>
  <c r="AX23" i="9" a="1"/>
  <c r="CC36" i="9" a="1"/>
  <c r="AN26" i="9" a="1"/>
  <c r="BY33" i="9" a="1"/>
  <c r="BN32" i="9" a="1"/>
  <c r="CP24" i="9" a="1"/>
  <c r="AV20" i="9" a="1"/>
  <c r="AV24" i="9" a="1"/>
  <c r="G30" i="9" a="1"/>
  <c r="CA27" i="9" a="1"/>
  <c r="P30" i="9" a="1"/>
  <c r="F33" i="9" a="1"/>
  <c r="AM28" i="9" a="1"/>
  <c r="L31" i="9" a="1"/>
  <c r="BR33" i="9" a="1"/>
  <c r="BN28" i="9" a="1"/>
  <c r="CA39" i="9" a="1"/>
  <c r="BC33" i="9" a="1"/>
  <c r="V26" i="9" a="1"/>
  <c r="P36" i="9" a="1"/>
  <c r="K134" i="18"/>
  <c r="K96" i="14"/>
  <c r="N28" i="9" a="1"/>
  <c r="P23" i="9" a="1"/>
  <c r="BV27" i="9" a="1"/>
  <c r="BP23" i="9" a="1"/>
  <c r="CQ28" i="9" a="1"/>
  <c r="BX38" i="9" a="1"/>
  <c r="BZ26" i="9" a="1"/>
  <c r="BO27" i="9" a="1"/>
  <c r="AN35" i="9" a="1"/>
  <c r="BX29" i="9" a="1"/>
  <c r="R22" i="9" a="1"/>
  <c r="AI23" i="9" a="1"/>
  <c r="P34" i="9" a="1"/>
  <c r="AA31" i="9" a="1"/>
  <c r="H24" i="9" a="1"/>
  <c r="AW26" i="9" a="1"/>
  <c r="AS39" i="9" a="1"/>
  <c r="AQ21" i="9" a="1"/>
  <c r="CN32" i="9" a="1"/>
  <c r="CF28" i="9" a="1"/>
  <c r="BP24" i="9" a="1"/>
  <c r="AY31" i="9" a="1"/>
  <c r="AS23" i="9" a="1"/>
  <c r="CA32" i="9" a="1"/>
  <c r="AY33" i="9" a="1"/>
  <c r="CM37" i="9" a="1"/>
  <c r="CG36" i="9" a="1"/>
  <c r="BD26" i="9" a="1"/>
  <c r="BG30" i="9" a="1"/>
  <c r="CC32" i="9" a="1"/>
  <c r="S25" i="9" a="1"/>
  <c r="Z23" i="9" a="1"/>
  <c r="CJ32" i="9" a="1"/>
  <c r="AR27" i="9" a="1"/>
  <c r="BJ39" i="9" a="1"/>
  <c r="G35" i="9" a="1"/>
  <c r="BD22" i="9" a="1"/>
  <c r="BS36" i="9" a="1"/>
  <c r="AL37" i="9" a="1"/>
  <c r="BO30" i="9" a="1"/>
  <c r="AG28" i="9" a="1"/>
  <c r="BO25" i="9" a="1"/>
  <c r="AD22" i="9" a="1"/>
  <c r="CO23" i="9" a="1"/>
  <c r="BX36" i="9" a="1"/>
  <c r="CQ36" i="9" a="1"/>
  <c r="K1008" i="22"/>
  <c r="CG27" i="9" a="1"/>
  <c r="CD38" i="9" a="1"/>
  <c r="M32" i="9" a="1"/>
  <c r="R32" i="9" a="1"/>
  <c r="BK36" i="9" a="1"/>
  <c r="AL26" i="9" a="1"/>
  <c r="CK38" i="9" a="1"/>
  <c r="AK31" i="9" a="1"/>
  <c r="Z31" i="9" a="1"/>
  <c r="CM31" i="9" a="1"/>
  <c r="AP25" i="9" a="1"/>
  <c r="BV35" i="9" a="1"/>
  <c r="CG33" i="9" a="1"/>
  <c r="AV32" i="9" a="1"/>
  <c r="BH29" i="9" a="1"/>
  <c r="AA33" i="9" a="1"/>
  <c r="BC21" i="9" a="1"/>
  <c r="BY29" i="9" a="1"/>
  <c r="AC32" i="9" a="1"/>
  <c r="AD29" i="9" a="1"/>
  <c r="BO34" i="9" a="1"/>
  <c r="I32" i="9" a="1"/>
  <c r="P22" i="9" a="1"/>
  <c r="X31" i="9" a="1"/>
  <c r="M31" i="9" a="1"/>
  <c r="CF26" i="9" a="1"/>
  <c r="Z36" i="9" a="1"/>
  <c r="CJ22" i="9" a="1"/>
  <c r="CJ26" i="9" a="1"/>
  <c r="CP32" i="9" a="1"/>
  <c r="BB35" i="9" a="1"/>
  <c r="BI31" i="9" a="1"/>
  <c r="F36" i="9" a="1"/>
  <c r="AY39" i="9" a="1"/>
  <c r="CH31" i="9" a="1"/>
  <c r="P29" i="9" a="1"/>
  <c r="BP30" i="9" a="1"/>
  <c r="BO33" i="9" a="1"/>
  <c r="K36" i="9" a="1"/>
  <c r="AE23" i="9" a="1"/>
  <c r="U31" i="9" a="1"/>
  <c r="CM22" i="9" a="1"/>
  <c r="CH32" i="9" a="1"/>
  <c r="R30" i="9" a="1"/>
  <c r="AP22" i="9" a="1"/>
  <c r="P27" i="9" a="1"/>
  <c r="BB36" i="9" a="1"/>
  <c r="CB26" i="9" a="1"/>
  <c r="AU28" i="9" a="1"/>
  <c r="CQ23" i="9" a="1"/>
  <c r="AO31" i="9" a="1"/>
  <c r="CE21" i="9" a="1"/>
  <c r="AE28" i="9" a="1"/>
  <c r="BX25" i="9" a="1"/>
  <c r="CA25" i="9" a="1"/>
  <c r="AC35" i="9" a="1"/>
  <c r="BJ23" i="9" a="1"/>
  <c r="N20" i="9" a="1"/>
  <c r="V36" i="9" a="1"/>
  <c r="AF32" i="9" a="1"/>
  <c r="Z35" i="9" a="1"/>
  <c r="CG29" i="9" a="1"/>
  <c r="K172" i="14"/>
  <c r="BP20" i="9" a="1"/>
  <c r="BC20" i="9" a="1"/>
  <c r="CF33" i="9" a="1"/>
  <c r="CQ20" i="9" a="1"/>
  <c r="AW38" i="9" a="1"/>
  <c r="I33" i="9" a="1"/>
  <c r="K58" i="18"/>
  <c r="CL27" i="9" a="1"/>
  <c r="CR30" i="9" a="1"/>
  <c r="AR25" i="9" a="1"/>
  <c r="BS30" i="9" a="1"/>
  <c r="BS24" i="9" a="1"/>
  <c r="CJ30" i="9" a="1"/>
  <c r="CG31" i="9" a="1"/>
  <c r="AV28" i="9" a="1"/>
  <c r="CC30" i="9" a="1"/>
  <c r="CJ31" i="9" a="1"/>
  <c r="E39" i="9" a="1"/>
  <c r="L35" i="9" a="1"/>
  <c r="CF24" i="9" a="1"/>
  <c r="AD31" i="9" a="1"/>
  <c r="CB25" i="9" a="1"/>
  <c r="AJ36" i="9" a="1"/>
  <c r="CM39" i="9" a="1"/>
  <c r="AF29" i="9" a="1"/>
  <c r="BC35" i="9" a="1"/>
  <c r="K20" i="18"/>
  <c r="L23" i="9" a="1"/>
  <c r="O25" i="9" a="1"/>
  <c r="BU29" i="9" a="1"/>
  <c r="AX28" i="9" a="1"/>
  <c r="BQ28" i="9" a="1"/>
  <c r="U29" i="9" a="1"/>
  <c r="P32" i="9" a="1"/>
  <c r="AX20" i="9" a="1"/>
  <c r="BE28" i="9" a="1"/>
  <c r="AB23" i="9" a="1"/>
  <c r="AX30" i="9" a="1"/>
  <c r="CJ23" i="9" a="1"/>
  <c r="K134" i="22"/>
  <c r="T32" i="9" a="1"/>
  <c r="U20" i="9" a="1"/>
  <c r="CH35" i="9" a="1"/>
  <c r="BO36" i="9" a="1"/>
  <c r="F28" i="9" a="1"/>
  <c r="BB20" i="9" a="1"/>
  <c r="BT20" i="9" a="1"/>
  <c r="AT26" i="9" a="1"/>
  <c r="AO36" i="9" a="1"/>
  <c r="K96" i="15"/>
  <c r="F34" i="9" a="1"/>
  <c r="N21" i="9" a="1"/>
  <c r="Y30" i="9" a="1"/>
  <c r="H38" i="9" a="1"/>
  <c r="AC22" i="9" a="1"/>
  <c r="BX27" i="9" a="1"/>
  <c r="K1692" i="22"/>
  <c r="AT27" i="9" a="1"/>
  <c r="BU32" i="9" a="1"/>
  <c r="BK31" i="9" a="1"/>
  <c r="AJ37" i="9" a="1"/>
  <c r="AB38" i="9" a="1"/>
  <c r="AJ22" i="9" a="1"/>
  <c r="CF23" i="9" a="1"/>
  <c r="BS32" i="9" a="1"/>
  <c r="CA31" i="9" a="1"/>
  <c r="G39" i="9" a="1"/>
  <c r="T25" i="9" a="1"/>
  <c r="BZ33" i="9" a="1"/>
  <c r="X25" i="9" a="1"/>
  <c r="CM33" i="9" a="1"/>
  <c r="BB34" i="9" a="1"/>
  <c r="AS31" i="9" a="1"/>
  <c r="AL23" i="9" a="1"/>
  <c r="AT28" i="9" a="1"/>
  <c r="G32" i="9" a="1"/>
  <c r="CE20" i="9" a="1"/>
  <c r="S34" i="9" a="1"/>
  <c r="AE35" i="9" a="1"/>
  <c r="AE32" i="9" a="1"/>
  <c r="CB32" i="9" a="1"/>
  <c r="BK37" i="9" a="1"/>
  <c r="I37" i="9" a="1"/>
  <c r="BA31" i="9" a="1"/>
  <c r="Y24" i="9" a="1"/>
  <c r="BD39" i="9" a="1"/>
  <c r="BD38" i="9" a="1"/>
  <c r="BD35" i="9" a="1"/>
  <c r="K27" i="9" a="1"/>
  <c r="AO33" i="9" a="1"/>
  <c r="CK37" i="9" a="1"/>
  <c r="M27" i="9" a="1"/>
  <c r="CL23" i="9" a="1"/>
  <c r="BN27" i="9" a="1"/>
  <c r="K28" i="9" a="1"/>
  <c r="K514" i="22"/>
  <c r="CL36" i="9" a="1"/>
  <c r="BX35" i="9" a="1"/>
  <c r="AZ31" i="9" a="1"/>
  <c r="BI35" i="9" a="1"/>
  <c r="BY34" i="9" a="1"/>
  <c r="Q27" i="9" a="1"/>
  <c r="AH33" i="9" a="1"/>
  <c r="BR29" i="9" a="1"/>
  <c r="AM39" i="9" a="1"/>
  <c r="AG27" i="9" a="1"/>
  <c r="F35" i="9" a="1"/>
  <c r="E24" i="9" a="1"/>
  <c r="AU35" i="9" a="1"/>
  <c r="BW35" i="9" a="1"/>
  <c r="AB39" i="9" a="1"/>
  <c r="BV28" i="9" a="1"/>
  <c r="CK30" i="9" a="1"/>
  <c r="BG23" i="9" a="1"/>
  <c r="I26" i="9" a="1"/>
  <c r="AZ26" i="9" a="1"/>
  <c r="K22" i="9" a="1"/>
  <c r="AD28" i="9" a="1"/>
  <c r="CB28" i="9" a="1"/>
  <c r="BG36" i="9" a="1"/>
  <c r="K26" i="9" a="1"/>
  <c r="CK28" i="9" a="1"/>
  <c r="BV22" i="9" a="1"/>
  <c r="CO32" i="9" a="1"/>
  <c r="K134" i="15"/>
  <c r="U39" i="9" a="1"/>
  <c r="T35" i="9" a="1"/>
  <c r="AI31" i="9" a="1"/>
  <c r="AC25" i="9" a="1"/>
  <c r="AF20" i="9" a="1"/>
  <c r="AT32" i="9" a="1"/>
  <c r="AZ23" i="9" a="1"/>
  <c r="I36" i="9" a="1"/>
  <c r="G36" i="9" a="1"/>
  <c r="Y33" i="9" a="1"/>
  <c r="AU22" i="9" a="1"/>
  <c r="BV33" i="9" a="1"/>
  <c r="BP31" i="9" a="1"/>
  <c r="BT21" i="9" a="1"/>
  <c r="N24" i="9" a="1"/>
  <c r="M24" i="9" a="1"/>
  <c r="BY26" i="9" a="1"/>
  <c r="AS35" i="9" a="1"/>
  <c r="BG26" i="9" a="1"/>
  <c r="K134" i="5"/>
  <c r="AA38" i="9" a="1"/>
  <c r="R23" i="9" a="1"/>
  <c r="L33" i="9" a="1"/>
  <c r="U33" i="9" a="1"/>
  <c r="BE36" i="9" a="1"/>
  <c r="AV22" i="9" a="1"/>
  <c r="CD26" i="9" a="1"/>
  <c r="BE25" i="9" a="1"/>
  <c r="BD29" i="9" a="1"/>
  <c r="AW35" i="9" a="1"/>
  <c r="AZ25" i="9" a="1"/>
  <c r="BD37" i="9" a="1"/>
  <c r="X37" i="9" a="1"/>
  <c r="CB39" i="9" a="1"/>
  <c r="CB30" i="9" a="1"/>
  <c r="CD23" i="9" a="1"/>
  <c r="W25" i="9" a="1"/>
  <c r="BJ29" i="9" a="1"/>
  <c r="O30" i="9" a="1"/>
  <c r="CH30" i="9" a="1"/>
  <c r="CE39" i="9" a="1"/>
  <c r="L26" i="9" a="1"/>
  <c r="AV27" i="9" a="1"/>
  <c r="K438" i="22"/>
  <c r="AK30" i="9" a="1"/>
  <c r="G34" i="9" a="1"/>
  <c r="BL25" i="9" a="1"/>
  <c r="J30" i="9" a="1"/>
  <c r="K24" i="9" a="1"/>
  <c r="CM35" i="9" a="1"/>
  <c r="K1578" i="22"/>
  <c r="AF31" i="9" a="1"/>
  <c r="R28" i="9" a="1"/>
  <c r="AW32" i="9" a="1"/>
  <c r="Y26" i="9" a="1"/>
  <c r="CI31" i="9" a="1"/>
  <c r="AE36" i="9" a="1"/>
  <c r="BI27" i="9" a="1"/>
  <c r="AV31" i="9" a="1"/>
  <c r="CJ25" i="9" a="1"/>
  <c r="BA23" i="9" a="1"/>
  <c r="Y27" i="9" a="1"/>
  <c r="CK22" i="9" a="1"/>
  <c r="CC20" i="9" a="1"/>
  <c r="AB27" i="9" a="1"/>
  <c r="AL32" i="9" a="1"/>
  <c r="BH25" i="9" a="1"/>
  <c r="U26" i="9" a="1"/>
  <c r="M39" i="9" a="1"/>
  <c r="BG24" i="9" a="1"/>
  <c r="BM34" i="9" a="1"/>
  <c r="CB38" i="9" a="1"/>
  <c r="AB31" i="9" a="1"/>
  <c r="BV25" i="9" a="1"/>
  <c r="BD36" i="9" a="1"/>
  <c r="AZ36" i="9" a="1"/>
  <c r="BP22" i="9" a="1"/>
  <c r="BN24" i="9" a="1"/>
  <c r="K438" i="14"/>
  <c r="BF24" i="9" a="1"/>
  <c r="AB35" i="9" a="1"/>
  <c r="X28" i="9" a="1"/>
  <c r="CG32" i="9" a="1"/>
  <c r="AS37" i="9" a="1"/>
  <c r="M38" i="9" a="1"/>
  <c r="CO33" i="9" a="1"/>
  <c r="BY22" i="9" a="1"/>
  <c r="CR24" i="9" a="1"/>
  <c r="BJ27" i="9" a="1"/>
  <c r="AM22" i="9" a="1"/>
  <c r="AI38" i="9" a="1"/>
  <c r="AQ32" i="9" a="1"/>
  <c r="AK38" i="9" a="1"/>
  <c r="AU26" i="9" a="1"/>
  <c r="AM30" i="9" a="1"/>
  <c r="AW31" i="9" a="1"/>
  <c r="CD25" i="9" a="1"/>
  <c r="E27" i="9" a="1"/>
  <c r="CI20" i="9" a="1"/>
  <c r="CJ27" i="9" a="1"/>
  <c r="BI38" i="9" a="1"/>
  <c r="BS23" i="9" a="1"/>
  <c r="CN28" i="9" a="1"/>
  <c r="V23" i="9" a="1"/>
  <c r="K590" i="14"/>
  <c r="P39" i="9" a="1"/>
  <c r="AH21" i="9" a="1"/>
  <c r="K742" i="22"/>
  <c r="K20" i="22"/>
  <c r="AQ20" i="9" a="1"/>
  <c r="AA39" i="9" a="1"/>
  <c r="BH24" i="9" a="1"/>
  <c r="CP25" i="9" a="1"/>
  <c r="BL27" i="9" a="1"/>
  <c r="AR21" i="9" a="1"/>
  <c r="CP20" i="9" a="1"/>
  <c r="CM32" i="9" a="1"/>
  <c r="AI28" i="9" a="1"/>
  <c r="AY27" i="9" a="1"/>
  <c r="BV24" i="9" a="1"/>
  <c r="AC27" i="9" a="1"/>
  <c r="AG20" i="9" a="1"/>
  <c r="BD21" i="9" a="1"/>
  <c r="M23" i="9" a="1"/>
  <c r="W39" i="9" a="1"/>
  <c r="AQ25" i="9" a="1"/>
  <c r="N34" i="9" a="1"/>
  <c r="G28" i="9" a="1"/>
  <c r="K1806" i="22"/>
  <c r="N27" i="9" a="1"/>
  <c r="CA24" i="9" a="1"/>
  <c r="AE27" i="9" a="1"/>
  <c r="CQ21" i="9" a="1"/>
  <c r="BD32" i="9" a="1"/>
  <c r="BV29" i="9" a="1"/>
  <c r="AE26" i="9" a="1"/>
  <c r="AS20" i="9" a="1"/>
  <c r="V24" i="9" a="1"/>
  <c r="BL39" i="9" a="1"/>
  <c r="AW28" i="9" a="1"/>
  <c r="CM20" i="9" a="1"/>
  <c r="BB29" i="9" a="1"/>
  <c r="AO22" i="9" a="1"/>
  <c r="U27" i="9" a="1"/>
  <c r="CM23" i="9" a="1"/>
  <c r="L36" i="9" a="1"/>
  <c r="AY32" i="9" a="1"/>
  <c r="AV38" i="9" a="1"/>
  <c r="O39" i="9" a="1"/>
  <c r="G23" i="9" a="1"/>
  <c r="CG21" i="9" a="1"/>
  <c r="AT31" i="9" a="1"/>
  <c r="CL33" i="9" a="1"/>
  <c r="F23" i="9" a="1"/>
  <c r="BK39" i="9" a="1"/>
  <c r="AX37" i="9" a="1"/>
  <c r="BN38" i="9" a="1"/>
  <c r="V29" i="9" a="1"/>
  <c r="CB29" i="9" a="1"/>
  <c r="BI33" i="9" a="1"/>
  <c r="BB25" i="9" a="1"/>
  <c r="BF25" i="9" a="1"/>
  <c r="CO25" i="9" a="1"/>
  <c r="CR39" i="9" a="1"/>
  <c r="AH26" i="9" a="1"/>
  <c r="AT39" i="9" a="1"/>
  <c r="U32" i="9" a="1"/>
  <c r="N26" i="9" a="1"/>
  <c r="CH22" i="9" a="1"/>
  <c r="X21" i="9" a="1"/>
  <c r="AH20" i="9" a="1"/>
  <c r="CP28" i="9" a="1"/>
  <c r="BZ39" i="9" a="1"/>
  <c r="BT33" i="9" a="1"/>
  <c r="J21" i="9" a="1"/>
  <c r="E34" i="9" a="1"/>
  <c r="BH21" i="9" a="1"/>
  <c r="CI22" i="9" a="1"/>
  <c r="Z29" i="9" a="1"/>
  <c r="AE30" i="9" a="1"/>
  <c r="BW23" i="9" a="1"/>
  <c r="V22" i="9" a="1"/>
  <c r="R37" i="9" a="1"/>
  <c r="AS38" i="9" a="1"/>
  <c r="T38" i="9" a="1"/>
  <c r="AN25" i="9" a="1"/>
  <c r="Y31" i="9" a="1"/>
  <c r="AF38" i="9" a="1"/>
  <c r="R25" i="9" a="1"/>
  <c r="AE21" i="9" a="1"/>
  <c r="BA33" i="9" a="1"/>
  <c r="AK25" i="9" a="1"/>
  <c r="AI37" i="9" a="1"/>
  <c r="BT39" i="9" a="1"/>
  <c r="CI27" i="9" a="1"/>
  <c r="BH32" i="9" a="1"/>
  <c r="Z39" i="9" a="1"/>
  <c r="CK31" i="9" a="1"/>
  <c r="AA32" i="9" a="1"/>
  <c r="CE23" i="9" a="1"/>
  <c r="BT28" i="9" a="1"/>
  <c r="BI23" i="9" a="1"/>
  <c r="AE34" i="9" a="1"/>
  <c r="CM21" i="9" a="1"/>
  <c r="K666" i="14"/>
  <c r="AP32" i="9" a="1"/>
  <c r="AR38" i="9" a="1"/>
  <c r="N35" i="9" a="1"/>
  <c r="I35" i="9" a="1"/>
  <c r="G29" i="9" a="1"/>
  <c r="BA30" i="9" a="1"/>
  <c r="BQ33" i="9" a="1"/>
  <c r="O34" i="9" a="1"/>
  <c r="BT29" i="9" a="1"/>
  <c r="AR33" i="9" a="1"/>
  <c r="AI27" i="9" a="1"/>
  <c r="AQ34" i="9" a="1"/>
  <c r="BQ27" i="9" a="1"/>
  <c r="BP21" i="9" a="1"/>
  <c r="AT25" i="9" a="1"/>
  <c r="F29" i="9" a="1"/>
  <c r="AK34" i="9" a="1"/>
  <c r="AF23" i="9" a="1"/>
  <c r="BZ34" i="9" a="1"/>
  <c r="BD28" i="9" a="1"/>
  <c r="CK24" i="9" a="1"/>
  <c r="AB30" i="9" a="1"/>
  <c r="CR21" i="9" a="1"/>
  <c r="K1616" i="22"/>
  <c r="AU25" i="9" a="1"/>
  <c r="K38" i="9" a="1"/>
  <c r="BD27" i="9" a="1"/>
  <c r="AK20" i="9" a="1"/>
  <c r="AS25" i="9" a="1"/>
  <c r="Q34" i="9" a="1"/>
  <c r="BQ35" i="9" a="1"/>
  <c r="H36" i="9" a="1"/>
  <c r="BA20" i="9" a="1"/>
  <c r="BX39" i="9" a="1"/>
  <c r="BM27" i="9" a="1"/>
  <c r="BW22" i="9" a="1"/>
  <c r="CF39" i="9" a="1"/>
  <c r="Y23" i="9" a="1"/>
  <c r="AG25" i="9" a="1"/>
  <c r="N36" i="9" a="1"/>
  <c r="BQ24" i="9" a="1"/>
  <c r="AM37" i="9" a="1"/>
  <c r="BZ30" i="9" a="1"/>
  <c r="BV36" i="9" a="1"/>
  <c r="AU23" i="9" a="1"/>
  <c r="S31" i="9" a="1"/>
  <c r="BF21" i="9" a="1"/>
  <c r="K23" i="9" a="1"/>
  <c r="BK21" i="9" a="1"/>
  <c r="K30" i="9" a="1"/>
  <c r="AB26" i="9" a="1"/>
  <c r="AJ25" i="9" a="1"/>
  <c r="CE38" i="9" a="1"/>
  <c r="CO36" i="9" a="1"/>
  <c r="F39" i="9" a="1"/>
  <c r="BU25" i="9" a="1"/>
  <c r="AM33" i="9" a="1"/>
  <c r="CD24" i="9" a="1"/>
  <c r="CQ26" i="9" a="1"/>
  <c r="BE22" i="9" a="1"/>
  <c r="BM31" i="9" a="1"/>
  <c r="BS37" i="9" a="1"/>
  <c r="BR37" i="9" a="1"/>
  <c r="BH35" i="9" a="1"/>
  <c r="AG33" i="9" a="1"/>
  <c r="X32" i="9" a="1"/>
  <c r="AF21" i="9" a="1"/>
  <c r="BS27" i="9" a="1"/>
  <c r="V32" i="9" a="1"/>
  <c r="AN36" i="9" a="1"/>
  <c r="K324" i="14"/>
  <c r="G37" i="9" a="1"/>
  <c r="BP32" i="9" a="1"/>
  <c r="BQ23" i="9" a="1"/>
  <c r="AG30" i="9" a="1"/>
  <c r="N32" i="9" a="1"/>
  <c r="W33" i="9" a="1"/>
  <c r="CA34" i="9" a="1"/>
  <c r="P25" i="9" a="1"/>
  <c r="K1654" i="22"/>
  <c r="H34" i="9" a="1"/>
  <c r="CC37" i="9" a="1"/>
  <c r="S28" i="9" a="1"/>
  <c r="BU33" i="9" a="1"/>
  <c r="BF32" i="9" a="1"/>
  <c r="BB31" i="9" a="1"/>
  <c r="T34" i="9" a="1"/>
  <c r="CB24" i="9" a="1"/>
  <c r="K20" i="15"/>
  <c r="BD25" i="9" a="1"/>
  <c r="CO21" i="9" a="1"/>
  <c r="CE35" i="9" a="1"/>
  <c r="BL34" i="9" a="1"/>
  <c r="BM29" i="9" a="1"/>
  <c r="F32" i="9" a="1"/>
  <c r="AR35" i="9" a="1"/>
  <c r="CQ25" i="9" a="1"/>
  <c r="AK36" i="9" a="1"/>
  <c r="Q39" i="9" a="1"/>
  <c r="AP30" i="9" a="1"/>
  <c r="AQ36" i="9" a="1"/>
  <c r="CC25" i="9" a="1"/>
  <c r="AV29" i="9" a="1"/>
  <c r="BA36" i="9" a="1"/>
  <c r="AT38" i="9" a="1"/>
  <c r="CH37" i="9" a="1"/>
  <c r="CI36" i="9" a="1"/>
  <c r="CR23" i="9" a="1"/>
  <c r="BN29" i="9" a="1"/>
  <c r="BE31" i="9" a="1"/>
  <c r="CR29" i="9" a="1"/>
  <c r="AI26" i="9" a="1"/>
  <c r="BS26" i="9" a="1"/>
  <c r="AA28" i="9" a="1"/>
  <c r="AB21" i="9" a="1"/>
  <c r="CB21" i="9" a="1"/>
  <c r="BA39" i="9" a="1"/>
  <c r="BW29" i="9" a="1"/>
  <c r="AH38" i="9" a="1"/>
  <c r="BQ25" i="9" a="1"/>
  <c r="BJ21" i="9" a="1"/>
  <c r="AS30" i="9" a="1"/>
  <c r="R29" i="9" a="1"/>
  <c r="M26" i="9" a="1"/>
  <c r="BC39" i="9" a="1"/>
  <c r="J25" i="9" a="1"/>
  <c r="CI38" i="9" a="1"/>
  <c r="AQ33" i="9" a="1"/>
  <c r="K324" i="15"/>
  <c r="CH34" i="9" a="1"/>
  <c r="CD28" i="9" a="1"/>
  <c r="BF30" i="9" a="1"/>
  <c r="Y35" i="9" a="1"/>
  <c r="BQ32" i="9" a="1"/>
  <c r="S29" i="9" a="1"/>
  <c r="AA23" i="9" a="1"/>
  <c r="AT29" i="9" a="1"/>
  <c r="K58" i="5"/>
  <c r="CH24" i="9" a="1"/>
  <c r="BJ30" i="9" a="1"/>
  <c r="AJ38" i="9" a="1"/>
  <c r="AK26" i="9" a="1"/>
  <c r="BT27" i="9" a="1"/>
  <c r="BX30" i="9" a="1"/>
  <c r="AW27" i="9" a="1"/>
  <c r="BS31" i="9" a="1"/>
  <c r="BZ31" i="9" a="1"/>
  <c r="CP29" i="9" a="1"/>
  <c r="CB22" i="9" a="1"/>
  <c r="AL39" i="9" a="1"/>
  <c r="BN36" i="9" a="1"/>
  <c r="AB25" i="9" a="1"/>
  <c r="M25" i="9" a="1"/>
  <c r="AO27" i="9" a="1"/>
  <c r="AO37" i="9" a="1"/>
  <c r="AJ26" i="9" a="1"/>
  <c r="BT32" i="9" a="1"/>
  <c r="E38" i="9" a="1"/>
  <c r="AE22" i="9" a="1"/>
  <c r="AA36" i="9" a="1"/>
  <c r="CA37" i="9" a="1"/>
  <c r="K1768" i="22"/>
  <c r="CC34" i="9" a="1"/>
  <c r="AO39" i="9" a="1"/>
  <c r="AN31" i="9" a="1"/>
  <c r="BR30" i="9" a="1"/>
  <c r="AD32" i="9" a="1"/>
  <c r="S20" i="9" a="1"/>
  <c r="BC36" i="9" a="1"/>
  <c r="I39" i="9" a="1"/>
  <c r="O32" i="9" a="1"/>
  <c r="K96" i="13"/>
  <c r="J28" i="9" a="1"/>
  <c r="CP23" i="9" a="1"/>
  <c r="AW36" i="9" a="1"/>
  <c r="CL25" i="9" a="1"/>
  <c r="X36" i="9" a="1"/>
  <c r="CM25" i="9" a="1"/>
  <c r="BC37" i="9" a="1"/>
  <c r="AX36" i="9" a="1"/>
  <c r="Q23" i="9" a="1"/>
  <c r="V21" i="9" a="1"/>
  <c r="BZ21" i="9" a="1"/>
  <c r="AR30" i="9" a="1"/>
  <c r="AQ22" i="9" a="1"/>
  <c r="AL29" i="9" a="1"/>
  <c r="AP38" i="9" a="1"/>
  <c r="AW20" i="9" a="1"/>
  <c r="BX22" i="9" a="1"/>
  <c r="AS24" i="9" a="1"/>
  <c r="W21" i="9" a="1"/>
  <c r="AZ21" i="9" a="1"/>
  <c r="AZ38" i="9" a="1"/>
  <c r="O37" i="9" a="1"/>
  <c r="AA25" i="9" a="1"/>
  <c r="AU34" i="9" a="1"/>
  <c r="CF38" i="9" a="1"/>
  <c r="P20" i="9" a="1"/>
  <c r="AY24" i="9" a="1"/>
  <c r="CO24" i="9" a="1"/>
  <c r="W30" i="9" a="1"/>
  <c r="G21" i="9" a="1"/>
  <c r="CN24" i="9" a="1"/>
  <c r="CB33" i="9" a="1"/>
  <c r="I30" i="9" a="1"/>
  <c r="O36" i="9" a="1"/>
  <c r="K476" i="22"/>
  <c r="CR38" i="9" a="1"/>
  <c r="AT34" i="9" a="1"/>
  <c r="BF37" i="9" a="1"/>
  <c r="T33" i="9" a="1"/>
  <c r="CE29" i="9" a="1"/>
  <c r="AR32" i="9" a="1"/>
  <c r="CC22" i="9" a="1"/>
  <c r="Q21" i="9" a="1"/>
  <c r="CH20" i="9" a="1"/>
  <c r="BJ32" i="9" a="1"/>
  <c r="AH31" i="9" a="1"/>
  <c r="AH36" i="9" a="1"/>
  <c r="CC39" i="9" a="1"/>
  <c r="CP35" i="9" a="1"/>
  <c r="CD31" i="9" a="1"/>
  <c r="BU20" i="9" a="1"/>
  <c r="BK29" i="9" a="1"/>
  <c r="BQ26" i="9" a="1"/>
  <c r="L30" i="9" a="1"/>
  <c r="O31" i="9" a="1"/>
  <c r="K552" i="14"/>
  <c r="BR22" i="9" a="1"/>
  <c r="BV31" i="9" a="1"/>
  <c r="BW24" i="9" a="1"/>
  <c r="AU27" i="9" a="1"/>
  <c r="CL37" i="9" a="1"/>
  <c r="CD34" i="9" a="1"/>
  <c r="AE38" i="9" a="1"/>
  <c r="L32" i="9" a="1"/>
  <c r="BY39" i="9" a="1"/>
  <c r="BE30" i="9" a="1"/>
  <c r="K33" i="9" a="1"/>
  <c r="BT35" i="9" a="1"/>
  <c r="CO30" i="9" a="1"/>
  <c r="AI20" i="9" a="1"/>
  <c r="AW29" i="9" a="1"/>
  <c r="CF22" i="9" a="1"/>
  <c r="AY26" i="9" a="1"/>
  <c r="BP25" i="9" a="1"/>
  <c r="CB23" i="9" a="1"/>
  <c r="K362" i="22"/>
  <c r="BF36" i="9" a="1"/>
  <c r="CH33" i="9" a="1"/>
  <c r="BK20" i="9" a="1"/>
  <c r="AP39" i="9" a="1"/>
  <c r="E25" i="9" a="1"/>
  <c r="BB38" i="9" a="1"/>
  <c r="CG22" i="9" a="1"/>
  <c r="U36" i="9" a="1"/>
  <c r="AD26" i="9" a="1"/>
  <c r="AX29" i="9" a="1"/>
  <c r="AV33" i="9" a="1"/>
  <c r="BF27" i="9" a="1"/>
  <c r="BM32" i="9" a="1"/>
  <c r="CE24" i="9" a="1"/>
  <c r="L38" i="9" a="1"/>
  <c r="X39" i="9" a="1"/>
  <c r="R33" i="9" a="1"/>
  <c r="CJ39" i="9" a="1"/>
  <c r="AU33" i="9" a="1"/>
  <c r="CC33" i="9" a="1"/>
  <c r="K1844" i="22"/>
  <c r="AO29" i="9" a="1"/>
  <c r="BH23" i="9" a="1"/>
  <c r="K362" i="14"/>
  <c r="H20" i="9" a="1"/>
  <c r="AA34" i="9" a="1"/>
  <c r="BT22" i="9" a="1"/>
  <c r="BB23" i="9" a="1"/>
  <c r="CF37" i="9" a="1"/>
  <c r="BT38" i="9" a="1"/>
  <c r="K134" i="14"/>
  <c r="CC29" i="9" a="1"/>
  <c r="CE27" i="9" a="1"/>
  <c r="T22" i="9" a="1"/>
  <c r="AH23" i="9" a="1"/>
  <c r="AS26" i="9" a="1"/>
  <c r="AZ33" i="9" a="1"/>
  <c r="BK32" i="9" a="1"/>
  <c r="BB37" i="9" a="1"/>
  <c r="CJ33" i="9" a="1"/>
  <c r="BN23" i="9" a="1"/>
  <c r="K210" i="15"/>
  <c r="W29" i="9" a="1"/>
  <c r="W27" i="9" a="1"/>
  <c r="R20" i="9" a="1"/>
  <c r="AK21" i="9" a="1"/>
  <c r="T26" i="9" a="1"/>
  <c r="O24" i="9" a="1"/>
  <c r="S27" i="9" a="1"/>
  <c r="Q30" i="9" a="1"/>
  <c r="CF30" i="9" a="1"/>
  <c r="CE34" i="9" a="1"/>
  <c r="BV38" i="9" a="1"/>
  <c r="BN20" i="9" a="1"/>
  <c r="AG39" i="9" a="1"/>
  <c r="AO23" i="9" a="1"/>
  <c r="CI29" i="9" a="1"/>
  <c r="V39" i="9" a="1"/>
  <c r="W26" i="9" a="1"/>
  <c r="Z26" i="9" a="1"/>
  <c r="AT37" i="9" a="1"/>
  <c r="L39" i="9" a="1"/>
  <c r="AZ22" i="9" a="1"/>
  <c r="AF37" i="9" a="1"/>
  <c r="BG38" i="9" a="1"/>
  <c r="AI29" i="9" a="1"/>
  <c r="Z25" i="9" a="1"/>
  <c r="S21" i="9" a="1"/>
  <c r="BG25" i="9" a="1"/>
  <c r="AY20" i="9" a="1"/>
  <c r="AU21" i="9" a="1"/>
  <c r="BM28" i="9" a="1"/>
  <c r="M36" i="9" a="1"/>
  <c r="AF26" i="9" a="1"/>
  <c r="Z21" i="9" a="1"/>
  <c r="BF34" i="9" a="1"/>
  <c r="E21" i="9" a="1"/>
  <c r="CC24" i="9" a="1"/>
  <c r="G27" i="9" a="1"/>
  <c r="L25" i="9" a="1"/>
  <c r="K172" i="5"/>
  <c r="AC24" i="9" a="1"/>
  <c r="U21" i="9" a="1"/>
  <c r="K628" i="22"/>
  <c r="BN35" i="9" a="1"/>
  <c r="BL26" i="9" a="1"/>
  <c r="Y29" i="9" a="1"/>
  <c r="AY21" i="9" a="1"/>
  <c r="AF28" i="9" a="1"/>
  <c r="AI21" i="9" a="1"/>
  <c r="BF33" i="9" a="1"/>
  <c r="G20" i="9" a="1"/>
  <c r="AA27" i="9" a="1"/>
  <c r="BE39" i="9" a="1"/>
  <c r="AP26" i="9" a="1"/>
  <c r="AV36" i="9" a="1"/>
  <c r="CG39" i="9" a="1"/>
  <c r="CL35" i="9" a="1"/>
  <c r="BY32" i="9" a="1"/>
  <c r="CH21" i="9" a="1"/>
  <c r="AN37" i="9" a="1"/>
  <c r="CC28" i="9" a="1"/>
  <c r="BA35" i="9" a="1"/>
  <c r="BX33" i="9" a="1"/>
  <c r="BQ38" i="9" a="1"/>
  <c r="CD37" i="9" a="1"/>
  <c r="M29" i="9" a="1"/>
  <c r="AR39" i="9" a="1"/>
  <c r="CA21" i="9" a="1"/>
  <c r="BU35" i="9" a="1"/>
  <c r="BM37" i="9" a="1"/>
  <c r="K31" i="9" a="1"/>
  <c r="BQ31" i="9" a="1"/>
  <c r="BO29" i="9" a="1"/>
  <c r="K37" i="9" a="1"/>
  <c r="H27" i="9" a="1"/>
  <c r="AO30" i="9" a="1"/>
  <c r="P21" i="9" a="1"/>
  <c r="CJ37" i="9" a="1"/>
  <c r="AS29" i="9" a="1"/>
  <c r="AD27" i="9" a="1"/>
  <c r="BS20" i="9" a="1"/>
  <c r="AO21" i="9" a="1"/>
  <c r="K324" i="22"/>
  <c r="R24" i="9" a="1"/>
  <c r="BU23" i="9" a="1"/>
  <c r="BB22" i="9" a="1"/>
  <c r="BK30" i="9" a="1"/>
  <c r="AV26" i="9" a="1"/>
  <c r="H31" i="9" a="1"/>
  <c r="CQ37" i="9" a="1"/>
  <c r="AL25" i="9" a="1"/>
  <c r="CL21" i="9" a="1"/>
  <c r="BS35" i="9" a="1"/>
  <c r="AC20" i="9" a="1"/>
  <c r="K400" i="14"/>
  <c r="CA38" i="9" a="1"/>
  <c r="BZ24" i="9" a="1"/>
  <c r="L37" i="9" a="1"/>
  <c r="P26" i="9" a="1"/>
  <c r="BR34" i="9" a="1"/>
  <c r="AR20" i="9" a="1"/>
  <c r="BI34" i="9" a="1"/>
  <c r="BU37" i="9" a="1"/>
  <c r="K210" i="5"/>
  <c r="CB36" i="9" a="1"/>
  <c r="E20" i="9" a="1"/>
  <c r="J23" i="9" a="1"/>
  <c r="AD36" i="9" a="1"/>
  <c r="CG35" i="9" a="1"/>
  <c r="BA25" i="9" a="1"/>
  <c r="T28" i="9" a="1"/>
  <c r="CD36" i="9" a="1"/>
  <c r="AO26" i="9" a="1"/>
  <c r="AF39" i="9" a="1"/>
  <c r="AM20" i="9" a="1"/>
  <c r="O27" i="9" a="1"/>
  <c r="K1388" i="22"/>
  <c r="BE32" i="9" a="1"/>
  <c r="BF38" i="9" a="1"/>
  <c r="AR34" i="9" a="1"/>
  <c r="BK26" i="9" a="1"/>
  <c r="W35" i="9" a="1"/>
  <c r="BV32" i="9" a="1"/>
  <c r="I31" i="9" a="1"/>
  <c r="I20" i="9" a="1"/>
  <c r="Y34" i="9" a="1"/>
  <c r="H21" i="9" a="1"/>
  <c r="O29" i="9" a="1"/>
  <c r="BM25" i="9" a="1"/>
  <c r="AX26" i="9" a="1"/>
  <c r="BZ22" i="9" a="1"/>
  <c r="M33" i="9" a="1"/>
  <c r="T39" i="9" a="1"/>
  <c r="CF25" i="9" a="1"/>
  <c r="AR36" i="9" a="1"/>
  <c r="AB34" i="9" a="1"/>
  <c r="BC28" i="9" a="1"/>
  <c r="CF34" i="9" a="1"/>
  <c r="AQ27" i="9" a="1"/>
  <c r="J39" i="9" a="1"/>
  <c r="CK29" i="9" a="1"/>
  <c r="BY38" i="9" a="1"/>
  <c r="CA26" i="9" a="1"/>
  <c r="AT35" i="9" a="1"/>
  <c r="Z28" i="9" a="1"/>
  <c r="CM28" i="9" a="1"/>
  <c r="CL28" i="9" a="1"/>
  <c r="AL35" i="9" a="1"/>
  <c r="AS28" i="9" a="1"/>
  <c r="AV25" i="9" a="1"/>
  <c r="Y21" i="9" a="1"/>
  <c r="BS33" i="9" a="1"/>
  <c r="AR31" i="9" a="1"/>
  <c r="CI21" i="9" a="1"/>
  <c r="AG35" i="9" a="1"/>
  <c r="U38" i="9" a="1"/>
  <c r="AZ32" i="9" a="1"/>
  <c r="AL24" i="9" a="1"/>
  <c r="BH28" i="9" a="1"/>
  <c r="CK21" i="9" a="1"/>
  <c r="AB37" i="9" a="1"/>
  <c r="R21" i="9" a="1"/>
  <c r="J32" i="9" a="1"/>
  <c r="AL28" i="9" a="1"/>
  <c r="AC36" i="9" a="1"/>
  <c r="CE25" i="9" a="1"/>
  <c r="V38" i="9" a="1"/>
  <c r="AO35" i="9" a="1"/>
  <c r="P33" i="9" a="1"/>
  <c r="Q37" i="9" a="1"/>
  <c r="BU26" i="9" a="1"/>
  <c r="K666" i="22"/>
  <c r="AW33" i="9" a="1"/>
  <c r="BO22" i="9" a="1"/>
  <c r="K210" i="22"/>
  <c r="Q24" i="9" a="1"/>
  <c r="AG29" i="9" a="1"/>
  <c r="K932" i="22"/>
  <c r="CG34" i="9" a="1"/>
  <c r="Y28" i="9" a="1"/>
  <c r="K1540" i="22"/>
  <c r="AJ33" i="9" a="1"/>
  <c r="CN30" i="9" a="1"/>
  <c r="BC24" i="9" a="1"/>
  <c r="AK37" i="9" a="1"/>
  <c r="BL32" i="9" a="1"/>
  <c r="AJ34" i="9" a="1"/>
  <c r="CQ24" i="9" a="1"/>
  <c r="BK22" i="9" a="1"/>
  <c r="AS34" i="9" a="1"/>
  <c r="BA26" i="9" a="1"/>
  <c r="AA20" i="9" a="1"/>
  <c r="AJ29" i="9" a="1"/>
  <c r="E35" i="9" a="1"/>
  <c r="K172" i="15"/>
  <c r="CR28" i="9" a="1"/>
  <c r="AU38" i="9" a="1"/>
  <c r="CN22" i="9" a="1"/>
  <c r="BG20" i="9" a="1"/>
  <c r="CN34" i="9" a="1"/>
  <c r="N33" i="9" a="1"/>
  <c r="AL30" i="9" a="1"/>
  <c r="CF27" i="9" a="1"/>
  <c r="CG30" i="9" a="1"/>
  <c r="P38" i="9" a="1"/>
  <c r="F30" i="9" a="1"/>
  <c r="X20" i="9" a="1"/>
  <c r="BC22" i="9" a="1"/>
  <c r="BN37" i="9" a="1"/>
  <c r="BT30" i="9" a="1"/>
  <c r="BJ28" i="9" a="1"/>
  <c r="AQ31" i="9" a="1"/>
  <c r="BV37" i="9" a="1"/>
  <c r="Q28" i="9" a="1"/>
  <c r="BO32" i="9" a="1"/>
  <c r="BP34" i="9" a="1"/>
  <c r="CR22" i="9" a="1"/>
  <c r="K514" i="14"/>
  <c r="BI37" i="9" a="1"/>
  <c r="K286" i="22"/>
  <c r="BF35" i="9" a="1"/>
  <c r="CB35" i="9" a="1"/>
  <c r="BY25" i="9" a="1"/>
  <c r="BZ36" i="9" a="1"/>
  <c r="BT37" i="9" a="1"/>
  <c r="AJ23" i="9" a="1"/>
  <c r="AG23" i="9" a="1"/>
  <c r="AT20" i="9" a="1"/>
  <c r="BR21" i="9" a="1"/>
  <c r="AI30" i="9" a="1"/>
  <c r="CR35" i="9" a="1"/>
  <c r="O33" i="9" a="1"/>
  <c r="K172" i="18"/>
  <c r="E33" i="9" a="1"/>
  <c r="BY28" i="9" a="1"/>
  <c r="AX39" i="9" a="1"/>
  <c r="AN20" i="9" a="1"/>
  <c r="AL21" i="9" a="1"/>
  <c r="AX33" i="9" a="1"/>
  <c r="BL20" i="9" a="1"/>
  <c r="J20" i="9" a="1"/>
  <c r="CI26" i="9" a="1"/>
  <c r="F25" i="9" a="1"/>
  <c r="BZ32" i="9" a="1"/>
  <c r="AY34" i="9" a="1"/>
  <c r="AW21" i="9" a="1"/>
  <c r="AI22" i="9" a="1"/>
  <c r="K286" i="15"/>
  <c r="BC38" i="9" a="1"/>
  <c r="AY25" i="9" a="1"/>
  <c r="AN24" i="9" a="1"/>
  <c r="CG23" i="9" a="1"/>
  <c r="BA34" i="9" a="1"/>
  <c r="K1160" i="22"/>
  <c r="BY20" i="9" a="1"/>
  <c r="AV37" i="9" a="1"/>
  <c r="BR35" i="9" a="1"/>
  <c r="AD25" i="9" a="1"/>
  <c r="Y22" i="9" a="1"/>
  <c r="AU20" i="9" a="1"/>
  <c r="CA36" i="9" a="1"/>
  <c r="K58" i="13"/>
  <c r="BB26" i="9" a="1"/>
  <c r="BL33" i="9" a="1"/>
  <c r="Z30" i="9" a="1"/>
  <c r="AY30" i="9" a="1"/>
  <c r="Y32" i="9" a="1"/>
  <c r="BE24" i="9" a="1"/>
  <c r="AO28" i="9" a="1"/>
  <c r="CL39" i="9" a="1"/>
  <c r="CH29" i="9" a="1"/>
  <c r="AC21" i="9" a="1"/>
  <c r="CI34" i="9" a="1"/>
  <c r="CI39" i="9" a="1"/>
  <c r="AQ39" i="9" a="1"/>
  <c r="BV39" i="9" a="1"/>
  <c r="BX23" i="9" a="1"/>
  <c r="BX20" i="9" a="1"/>
  <c r="BL22" i="9" a="1"/>
  <c r="BK23" i="9" a="1"/>
  <c r="AF25" i="9" a="1"/>
  <c r="CB20" i="9" a="1"/>
  <c r="CN26" i="9" a="1"/>
  <c r="AK24" i="9" a="1"/>
  <c r="K1730" i="22"/>
  <c r="CA28" i="9" a="1"/>
  <c r="BB24" i="9" a="1"/>
  <c r="AD37" i="9" a="1"/>
  <c r="AU31" i="9" a="1"/>
  <c r="BN22" i="9" a="1"/>
  <c r="J24" i="9" a="1"/>
  <c r="BG37" i="9" a="1"/>
  <c r="BO23" i="9" a="1"/>
  <c r="AK32" i="9" a="1"/>
  <c r="BQ34" i="9" a="1"/>
  <c r="CE30" i="9" a="1"/>
  <c r="AC37" i="9" a="1"/>
  <c r="BW34" i="9" a="1"/>
  <c r="K1426" i="22"/>
  <c r="K1274" i="22"/>
  <c r="AF36" i="9" a="1"/>
  <c r="AW24" i="9" a="1"/>
  <c r="K20" i="9" a="1"/>
  <c r="BH34" i="9" a="1"/>
  <c r="CC38" i="9" a="1"/>
  <c r="K286" i="14"/>
  <c r="BX31" i="9" a="1"/>
  <c r="AC23" i="9" a="1"/>
  <c r="Y38" i="9" a="1"/>
  <c r="K58" i="14"/>
  <c r="CO37" i="9" a="1"/>
  <c r="AG38" i="9" a="1"/>
  <c r="M21" i="9" a="1"/>
  <c r="BH39" i="9" a="1"/>
  <c r="BQ30" i="9" a="1"/>
  <c r="AZ39" i="9" a="1"/>
  <c r="O38" i="9" a="1"/>
  <c r="CF20" i="9" a="1"/>
  <c r="CC23" i="9" a="1"/>
  <c r="CJ29" i="9" a="1"/>
  <c r="AI24" i="9" a="1"/>
  <c r="AW30" i="9" a="1"/>
  <c r="BJ36" i="9" a="1"/>
  <c r="T20" i="9" a="1"/>
  <c r="AR29" i="9" a="1"/>
  <c r="CL26" i="9" a="1"/>
  <c r="V34" i="9" a="1"/>
  <c r="AG21" i="9" a="1"/>
  <c r="BP27" i="9" a="1"/>
  <c r="R34" i="9" a="1"/>
  <c r="AM26" i="9" a="1"/>
  <c r="BL23" i="9" a="1"/>
  <c r="BM30" i="9" a="1"/>
  <c r="M30" i="9" a="1"/>
  <c r="Q38" i="9" a="1"/>
  <c r="K210" i="14"/>
  <c r="AD38" i="9" a="1"/>
  <c r="AI34" i="9" a="1"/>
  <c r="P37" i="9" a="1"/>
  <c r="T30" i="9" a="1"/>
  <c r="BP29" i="9" a="1"/>
  <c r="CL38" i="9" a="1"/>
  <c r="AI33" i="9" a="1"/>
  <c r="CH23" i="9" a="1"/>
  <c r="CI24" i="9" a="1"/>
  <c r="M34" i="9" a="1"/>
  <c r="BW21" i="9" a="1"/>
  <c r="CD20" i="9" a="1"/>
  <c r="K20" i="5"/>
  <c r="AJ32" i="9" a="1"/>
  <c r="H23" i="9" a="1"/>
  <c r="CL34" i="9" a="1"/>
  <c r="AV34" i="9" a="1"/>
  <c r="AB36" i="9" a="1"/>
  <c r="AH37" i="9" a="1"/>
  <c r="BA27" i="9" a="1"/>
  <c r="F31" i="9" a="1"/>
  <c r="CH25" i="9" a="1"/>
  <c r="U28" i="9" a="1"/>
  <c r="AY36" i="9" a="1"/>
  <c r="AN23" i="9" a="1"/>
  <c r="CL29" i="9" a="1"/>
  <c r="Y20" i="9" a="1"/>
  <c r="CR37" i="9" a="1"/>
  <c r="K400" i="22"/>
  <c r="BN33" i="9" a="1"/>
  <c r="CE33" i="9" a="1"/>
  <c r="CO35" i="9" a="1"/>
  <c r="AI25" i="9" a="1"/>
  <c r="AL20" i="9" a="1"/>
  <c r="K172" i="22"/>
  <c r="K58" i="22"/>
  <c r="BH37" i="9" a="1"/>
  <c r="AZ20" i="9" a="1"/>
  <c r="BL30" i="9" a="1"/>
  <c r="CJ28" i="9" a="1"/>
  <c r="BI25" i="9" a="1"/>
  <c r="AB29" i="9" a="1"/>
  <c r="BF22" i="9" a="1"/>
  <c r="BT25" i="9" a="1"/>
  <c r="BD30" i="9" a="1"/>
  <c r="CJ20" i="9" a="1"/>
  <c r="AG37" i="9" a="1"/>
  <c r="AS33" i="9" a="1"/>
  <c r="I25" i="9" a="1"/>
  <c r="AF22" i="9" a="1"/>
  <c r="BA37" i="9" a="1"/>
  <c r="BP33" i="9" a="1"/>
  <c r="K780" i="22"/>
  <c r="AD33" i="9" a="1"/>
  <c r="AJ20" i="9" a="1"/>
  <c r="BR24" i="9" a="1"/>
  <c r="BM21" i="9" a="1"/>
  <c r="W37" i="9" a="1"/>
  <c r="BJ38" i="9" a="1"/>
  <c r="CA30" i="9" a="1"/>
  <c r="H30" i="9" a="1"/>
  <c r="CD21" i="9" a="1"/>
  <c r="K1236" i="22"/>
  <c r="AE24" i="9" a="1"/>
  <c r="BB21" i="9" a="1"/>
  <c r="M28" i="9" a="1"/>
  <c r="BE33" i="9" a="1"/>
  <c r="AO38" i="9" a="1"/>
  <c r="K20" i="14"/>
  <c r="BP35" i="9" a="1"/>
  <c r="O20" i="9" a="1"/>
  <c r="CG26" i="9" a="1"/>
  <c r="AW22" i="9" a="1"/>
  <c r="S30" i="9" a="1"/>
  <c r="CA20" i="9" a="1"/>
  <c r="CP37" i="9" a="1"/>
  <c r="G22" i="9" a="1"/>
  <c r="AF24" i="9" a="1"/>
  <c r="K1046" i="22"/>
  <c r="AC28" i="9" a="1"/>
  <c r="M22" i="9" a="1"/>
  <c r="AV39" i="9" a="1"/>
  <c r="CN21" i="9" a="1"/>
  <c r="L29" i="9" a="1"/>
  <c r="BH26" i="9" a="1"/>
  <c r="BQ21" i="9" a="1"/>
  <c r="L24" i="9" a="1"/>
  <c r="CE37" i="9" a="1"/>
  <c r="BQ37" i="9" a="1"/>
  <c r="K856" i="22"/>
  <c r="CL30" i="9" a="1"/>
  <c r="BO35" i="9" a="1"/>
  <c r="BE21" i="9" a="1"/>
  <c r="BF39" i="9" a="1"/>
  <c r="AE33" i="9" a="1"/>
  <c r="BH38" i="9" a="1"/>
  <c r="BS21" i="9" a="1"/>
  <c r="BM39" i="9" a="1"/>
  <c r="AK29" i="9" a="1"/>
  <c r="S33" i="9" a="1"/>
  <c r="CE36" i="9" a="1"/>
  <c r="BH30" i="9" a="1"/>
  <c r="K476" i="14"/>
  <c r="CK34" i="9" a="1"/>
  <c r="CP34" i="9" a="1"/>
  <c r="K704" i="22"/>
  <c r="AP34" i="9" a="1"/>
  <c r="Z33" i="9" a="1"/>
  <c r="AH24" i="9" a="1"/>
  <c r="CN31" i="9" a="1"/>
  <c r="Z20" i="9" a="1"/>
  <c r="H33" i="9" a="1"/>
  <c r="W38" i="9" a="1"/>
  <c r="AK35" i="9" a="1"/>
  <c r="BN21" i="9" a="1"/>
  <c r="BC30" i="9" a="1"/>
  <c r="AN38" i="9" a="1"/>
  <c r="W23" i="9" a="1"/>
  <c r="CJ34" i="9" a="1"/>
  <c r="L22" i="9" a="1"/>
  <c r="CJ38" i="9" a="1"/>
  <c r="BA24" i="9" a="1"/>
  <c r="BF29" i="9" a="1"/>
  <c r="AX32" i="9" a="1"/>
  <c r="J31" i="9" a="1"/>
  <c r="AM29" i="9" a="1"/>
  <c r="BE38" i="9" a="1"/>
  <c r="CI33" i="9" a="1"/>
  <c r="V30" i="9" a="1"/>
  <c r="BP37" i="9" a="1"/>
  <c r="BH31" i="9" a="1"/>
  <c r="M37" i="9" a="1"/>
  <c r="Q20" i="9" a="1"/>
  <c r="CQ38" i="9" a="1"/>
  <c r="CM38" i="9" a="1"/>
  <c r="BR20" i="9" a="1"/>
  <c r="AL38" i="9" a="1"/>
  <c r="BL21" i="9" a="1"/>
  <c r="X30" i="9" a="1"/>
  <c r="G24" i="9" a="1"/>
  <c r="O22" i="9" a="1"/>
  <c r="E31" i="9" a="1"/>
  <c r="AS32" i="9" a="1"/>
  <c r="AE20" i="9" a="1"/>
  <c r="BM38" i="9" a="1"/>
  <c r="G26" i="9" a="1"/>
  <c r="AN30" i="9" a="1"/>
  <c r="Q33" i="9" a="1"/>
  <c r="AN21" i="9" a="1"/>
  <c r="K29" i="9" a="1"/>
  <c r="CP30" i="9" a="1"/>
  <c r="CP33" i="9" a="1"/>
  <c r="AH32" i="9" a="1"/>
  <c r="I34" i="9" a="1"/>
  <c r="BZ29" i="9" a="1"/>
  <c r="BN30" i="9" a="1"/>
  <c r="AT33" i="9" a="1"/>
  <c r="P35" i="9" a="1"/>
  <c r="P24" i="9" a="1"/>
  <c r="W20" i="9" a="1"/>
  <c r="AH25" i="9" a="1"/>
  <c r="BG33" i="9" a="1"/>
  <c r="N29" i="9" a="1"/>
  <c r="Q32" i="9" a="1"/>
  <c r="S22" i="9" a="1"/>
  <c r="BR28" i="9" a="1"/>
  <c r="K894" i="22"/>
  <c r="BM24" i="9" a="1"/>
  <c r="BU24" i="9" a="1"/>
  <c r="BU27" i="9" a="1"/>
  <c r="CK25" i="9" a="1"/>
  <c r="K1464" i="22"/>
  <c r="CR36" i="9" a="1"/>
  <c r="AQ37" i="9" a="1"/>
  <c r="E26" i="9" a="1"/>
  <c r="CD30" i="9" a="1"/>
  <c r="CI25" i="9" a="1"/>
  <c r="N31" i="9" a="1"/>
  <c r="BJ22" i="9" a="1"/>
  <c r="AQ35" i="9" a="1"/>
  <c r="AJ35" i="9" a="1"/>
  <c r="V28" i="9" a="1"/>
  <c r="AM21" i="9" a="1"/>
  <c r="AC29" i="9" a="1"/>
  <c r="F24" i="9" a="1"/>
  <c r="AF33" i="9" a="1"/>
  <c r="BM26" i="9" a="1"/>
  <c r="CP39" i="9" a="1"/>
  <c r="AP29" i="9" a="1"/>
  <c r="BO38" i="9" a="1"/>
  <c r="BO28" i="9" a="1"/>
  <c r="AF30" i="9" a="1"/>
  <c r="K34" i="9" a="1"/>
  <c r="AU30" i="9" a="1"/>
  <c r="BD20" i="9" a="1"/>
  <c r="BM20" i="9" a="1"/>
  <c r="S39" i="9" a="1"/>
  <c r="K1122" i="22"/>
  <c r="J34" i="9" a="1"/>
  <c r="CM26" i="9" a="1"/>
  <c r="CO27" i="9" a="1"/>
  <c r="AG36" i="9" a="1"/>
  <c r="CI23" i="9" a="1"/>
  <c r="BZ35" i="9" a="1"/>
  <c r="K21" i="9" a="1"/>
  <c r="CK39" i="9" a="1"/>
  <c r="CC26" i="9" a="1"/>
  <c r="CM24" i="9" a="1"/>
  <c r="AP36" i="9" a="1"/>
  <c r="BV21" i="9" a="1"/>
  <c r="K704" i="14"/>
  <c r="BB39" i="9" a="1"/>
  <c r="BG39" i="9" a="1"/>
  <c r="CD32" i="9" a="1"/>
  <c r="AN32" i="9" a="1"/>
  <c r="BP38" i="9" a="1"/>
  <c r="Z37" i="9" a="1"/>
  <c r="E23" i="9" a="1"/>
  <c r="X23" i="9" a="1"/>
  <c r="BJ35" i="9" a="1"/>
  <c r="T21" i="9" a="1"/>
  <c r="CM30" i="9" a="1"/>
  <c r="BI21" i="9" a="1"/>
  <c r="AV21" i="9" a="1"/>
  <c r="F21" i="9" a="1"/>
  <c r="BL28" i="9" a="1"/>
  <c r="BC34" i="9" a="1"/>
  <c r="BI20" i="9" a="1"/>
  <c r="Q31" i="9" a="1"/>
  <c r="S37" i="9" a="1"/>
  <c r="BZ20" i="9" a="1"/>
  <c r="BG29" i="9" a="1"/>
  <c r="AE39" i="9" a="1"/>
  <c r="CB37" i="9" a="1"/>
  <c r="I21" i="9" a="1"/>
  <c r="AM34" i="9" a="1"/>
  <c r="AE29" i="9" a="1"/>
  <c r="AD24" i="9" a="1"/>
  <c r="CQ27" i="9" a="1"/>
  <c r="BZ38" i="9" a="1"/>
  <c r="CF35" i="9" a="1"/>
  <c r="Q36" i="9" a="1"/>
  <c r="BA29" i="9" a="1"/>
  <c r="AA37" i="9" a="1"/>
  <c r="CA22" i="9" a="1"/>
  <c r="AZ30" i="9" a="1"/>
  <c r="AS21" i="9" a="1"/>
  <c r="BE26" i="9" a="1"/>
  <c r="K628" i="14"/>
  <c r="BG27" i="9" a="1"/>
  <c r="CL31" i="9" a="1"/>
  <c r="AK28" i="9" a="1"/>
  <c r="CE32" i="9" a="1"/>
  <c r="AT30" i="9" a="1"/>
  <c r="BD24" i="9" a="1"/>
  <c r="X26" i="9" a="1"/>
  <c r="CP26" i="9" a="1"/>
  <c r="BT26" i="9" a="1"/>
  <c r="BW25" i="9" a="1"/>
  <c r="CM34" i="9" a="1"/>
  <c r="CK20" i="9" a="1"/>
  <c r="K1502" i="22"/>
  <c r="AO34" i="9" a="1"/>
  <c r="BZ27" i="9" a="1"/>
  <c r="BT34" i="9" a="1"/>
  <c r="AK23" i="9" a="1"/>
  <c r="F37" i="9" a="1"/>
  <c r="T27" i="9" a="1"/>
  <c r="N23" i="9" a="1"/>
  <c r="AM27" i="9" a="1"/>
  <c r="AD20" i="9" a="1"/>
  <c r="AX22" i="9" a="1"/>
  <c r="CO31" i="9" a="1"/>
  <c r="BJ25" i="9" a="1"/>
  <c r="R31" i="9" a="1"/>
  <c r="K970" i="22"/>
  <c r="CK27" i="9" a="1"/>
  <c r="AH34" i="9" a="1"/>
  <c r="BN25" i="9" a="1"/>
  <c r="BF28" i="9" a="1"/>
  <c r="J38" i="9" a="1"/>
  <c r="BX32" i="9" a="1"/>
  <c r="CP38" i="9" a="1"/>
  <c r="K248" i="22"/>
  <c r="G33" i="9" a="1"/>
  <c r="AN28" i="9" a="1"/>
  <c r="W36" i="9" a="1"/>
  <c r="AK22" i="9" a="1"/>
  <c r="I29" i="9" a="1"/>
  <c r="BM33" i="9" a="1"/>
  <c r="Q26" i="9" a="1"/>
  <c r="AW23" i="9" a="1"/>
  <c r="AP33" i="9" a="1"/>
  <c r="BE20" i="9" a="1"/>
  <c r="AN22" i="9" a="1"/>
  <c r="Q22" i="9" a="1"/>
  <c r="AL27" i="9" a="1"/>
  <c r="AD21" i="9" a="1"/>
  <c r="X34" i="9" a="1"/>
  <c r="U37" i="9" a="1"/>
  <c r="AB20" i="9" a="1"/>
  <c r="BK38" i="9" a="1"/>
  <c r="T37" i="9" a="1"/>
  <c r="BY23" i="9" a="1"/>
  <c r="AS27" i="9" a="1"/>
  <c r="AP21" i="9" a="1"/>
  <c r="CR26" i="9" a="1"/>
  <c r="W22" i="9" a="1"/>
  <c r="CR32" i="9" a="1"/>
  <c r="AZ37" i="9" a="1"/>
  <c r="U34" i="9" a="1"/>
  <c r="CO38" i="9" a="1"/>
  <c r="BY21" i="9" a="1"/>
  <c r="CQ35" i="9" a="1"/>
  <c r="H25" i="9" a="1"/>
  <c r="K1084" i="22"/>
  <c r="BE34" i="9" a="1"/>
  <c r="CJ21" i="9" a="1"/>
  <c r="AU39" i="9" a="1"/>
  <c r="AO20" i="9" a="1"/>
  <c r="AX21" i="9" a="1"/>
  <c r="CK23" i="9" a="1"/>
  <c r="CG38" i="9" a="1"/>
  <c r="AL22" i="9" a="1"/>
  <c r="S26" i="9" a="1"/>
  <c r="CL22" i="9" a="1"/>
  <c r="BK24" i="9" a="1"/>
  <c r="BJ33" i="9" a="1"/>
  <c r="CO29" i="9" a="1"/>
  <c r="AD34" i="9" a="1"/>
  <c r="AN39" i="9" a="1"/>
  <c r="BZ25" i="9" a="1"/>
  <c r="BS25" i="9" a="1"/>
  <c r="BO21" i="9" a="1"/>
  <c r="K1350" i="22"/>
  <c r="AH22" i="9" a="1"/>
  <c r="AA21" i="9" a="1"/>
  <c r="AJ21" i="9" a="1"/>
  <c r="BU34" i="9" a="1"/>
  <c r="K96" i="18"/>
  <c r="K590" i="22"/>
  <c r="L34" i="9" a="1"/>
  <c r="CA33" i="9" a="1"/>
  <c r="AH30" i="9" a="1"/>
  <c r="AB24" i="9" a="1"/>
  <c r="E37" i="9" a="1"/>
  <c r="BB27" i="9" a="1"/>
  <c r="BU21" i="9" a="1"/>
  <c r="CL20" i="9" a="1"/>
  <c r="BW31" i="9" a="1"/>
  <c r="CD29" i="9" a="1"/>
  <c r="BI29" i="9" a="1"/>
  <c r="BX21" i="9" a="1"/>
  <c r="BX21" i="9" l="1"/>
  <c r="BI29" i="9"/>
  <c r="CD29" i="9"/>
  <c r="BW31" i="9"/>
  <c r="CL20" i="9"/>
  <c r="BU21" i="9"/>
  <c r="BB27" i="9"/>
  <c r="E37" i="9"/>
  <c r="AB24" i="9"/>
  <c r="AH30" i="9"/>
  <c r="CA33" i="9"/>
  <c r="L34" i="9"/>
  <c r="BU34" i="9"/>
  <c r="AJ21" i="9"/>
  <c r="AA21" i="9"/>
  <c r="AH22" i="9"/>
  <c r="BO21" i="9"/>
  <c r="BS25" i="9"/>
  <c r="BZ25" i="9"/>
  <c r="AN39" i="9"/>
  <c r="AD34" i="9"/>
  <c r="CO29" i="9"/>
  <c r="BJ33" i="9"/>
  <c r="BK24" i="9"/>
  <c r="CL22" i="9"/>
  <c r="S26" i="9"/>
  <c r="AL22" i="9"/>
  <c r="CG38" i="9"/>
  <c r="DC21" i="19" s="1"/>
  <c r="CK23" i="9"/>
  <c r="AX21" i="9"/>
  <c r="AO20" i="9"/>
  <c r="AU39" i="9"/>
  <c r="CJ21" i="9"/>
  <c r="BE34" i="9"/>
  <c r="H25" i="9"/>
  <c r="CQ35" i="9"/>
  <c r="BY21" i="9"/>
  <c r="CO38" i="9"/>
  <c r="U34" i="9"/>
  <c r="AZ37" i="9"/>
  <c r="CR32" i="9"/>
  <c r="W22" i="9"/>
  <c r="CR26" i="9"/>
  <c r="AP21" i="9"/>
  <c r="AS27" i="9"/>
  <c r="BY23" i="9"/>
  <c r="T37" i="9"/>
  <c r="BK38" i="9"/>
  <c r="AB20" i="9"/>
  <c r="U37" i="9"/>
  <c r="X34" i="9"/>
  <c r="AD21" i="9"/>
  <c r="AL27" i="9"/>
  <c r="Q22" i="9"/>
  <c r="AN22" i="9"/>
  <c r="BE20" i="9"/>
  <c r="AP33" i="9"/>
  <c r="AW23" i="9"/>
  <c r="Q26" i="9"/>
  <c r="BM33" i="9"/>
  <c r="I29" i="9"/>
  <c r="AK22" i="9"/>
  <c r="W36" i="9"/>
  <c r="AN28" i="9"/>
  <c r="G33" i="9"/>
  <c r="CP38" i="9"/>
  <c r="BX32" i="9"/>
  <c r="J38" i="9"/>
  <c r="BF28" i="9"/>
  <c r="BN25" i="9"/>
  <c r="AH34" i="9"/>
  <c r="CK27" i="9"/>
  <c r="R31" i="9"/>
  <c r="BJ25" i="9"/>
  <c r="CO31" i="9"/>
  <c r="AX22" i="9"/>
  <c r="AD20" i="9"/>
  <c r="AM27" i="9"/>
  <c r="N23" i="9"/>
  <c r="T27" i="9"/>
  <c r="F37" i="9"/>
  <c r="AK23" i="9"/>
  <c r="BT34" i="9"/>
  <c r="BZ27" i="9"/>
  <c r="AO34" i="9"/>
  <c r="CK20" i="9"/>
  <c r="CM34" i="9"/>
  <c r="BW25" i="9"/>
  <c r="BT26" i="9"/>
  <c r="CP26" i="9"/>
  <c r="X26" i="9"/>
  <c r="BD24" i="9"/>
  <c r="AT30" i="9"/>
  <c r="CE32" i="9"/>
  <c r="AK28" i="9"/>
  <c r="CL31" i="9"/>
  <c r="BG27" i="9"/>
  <c r="BE26" i="9"/>
  <c r="AS21" i="9"/>
  <c r="AZ30" i="9"/>
  <c r="CA22" i="9"/>
  <c r="AA37" i="9"/>
  <c r="BA29" i="9"/>
  <c r="Q36" i="9"/>
  <c r="CF35" i="9"/>
  <c r="BZ38" i="9"/>
  <c r="CQ27" i="9"/>
  <c r="AD24" i="9"/>
  <c r="AE29" i="9"/>
  <c r="AM34" i="9"/>
  <c r="I21" i="9"/>
  <c r="CB37" i="9"/>
  <c r="AE39" i="9"/>
  <c r="BG29" i="9"/>
  <c r="BZ20" i="9"/>
  <c r="S37" i="9"/>
  <c r="Q31" i="9"/>
  <c r="BI20" i="9"/>
  <c r="BC34" i="9"/>
  <c r="BL28" i="9"/>
  <c r="F21" i="9"/>
  <c r="AV21" i="9"/>
  <c r="BI21" i="9"/>
  <c r="CM30" i="9"/>
  <c r="T21" i="9"/>
  <c r="BJ35" i="9"/>
  <c r="X23" i="9"/>
  <c r="E23" i="9"/>
  <c r="Z37" i="9"/>
  <c r="BP38" i="9"/>
  <c r="AN32" i="9"/>
  <c r="CD32" i="9"/>
  <c r="BG39" i="9"/>
  <c r="BB39" i="9"/>
  <c r="BV21" i="9"/>
  <c r="AP36" i="9"/>
  <c r="CM24" i="9"/>
  <c r="CC26" i="9"/>
  <c r="CK39" i="9"/>
  <c r="K21" i="9"/>
  <c r="BZ35" i="9"/>
  <c r="CI23" i="9"/>
  <c r="AG36" i="9"/>
  <c r="CO27" i="9"/>
  <c r="CM26" i="9"/>
  <c r="J34" i="9"/>
  <c r="S39" i="9"/>
  <c r="BM20" i="9"/>
  <c r="BD20" i="9"/>
  <c r="AU30" i="9"/>
  <c r="K34" i="9"/>
  <c r="AF30" i="9"/>
  <c r="BO28" i="9"/>
  <c r="BO38" i="9"/>
  <c r="AP29" i="9"/>
  <c r="CP39" i="9"/>
  <c r="BM26" i="9"/>
  <c r="AF33" i="9"/>
  <c r="F24" i="9"/>
  <c r="AC29" i="9"/>
  <c r="AM21" i="9"/>
  <c r="V28" i="9"/>
  <c r="AJ35" i="9"/>
  <c r="AQ35" i="9"/>
  <c r="BJ22" i="9"/>
  <c r="N31" i="9"/>
  <c r="CI25" i="9"/>
  <c r="CD30" i="9"/>
  <c r="E26" i="9"/>
  <c r="AQ37" i="9"/>
  <c r="CR36" i="9"/>
  <c r="CK25" i="9"/>
  <c r="BU27" i="9"/>
  <c r="BU24" i="9"/>
  <c r="BM24" i="9"/>
  <c r="BR28" i="9"/>
  <c r="S22" i="9"/>
  <c r="Q32" i="9"/>
  <c r="N29" i="9"/>
  <c r="BG33" i="9"/>
  <c r="AH25" i="9"/>
  <c r="W20" i="9"/>
  <c r="P24" i="9"/>
  <c r="P35" i="9"/>
  <c r="AT33" i="9"/>
  <c r="BN30" i="9"/>
  <c r="BZ29" i="9"/>
  <c r="I34" i="9"/>
  <c r="AH32" i="9"/>
  <c r="CP33" i="9"/>
  <c r="CP30" i="9"/>
  <c r="K29" i="9"/>
  <c r="AN21" i="9"/>
  <c r="Q33" i="9"/>
  <c r="AN30" i="9"/>
  <c r="G26" i="9"/>
  <c r="BM38" i="9"/>
  <c r="AE20" i="9"/>
  <c r="AS32" i="9"/>
  <c r="E31" i="9"/>
  <c r="O22" i="9"/>
  <c r="G24" i="9"/>
  <c r="X30" i="9"/>
  <c r="BL21" i="9"/>
  <c r="AL38" i="9"/>
  <c r="BR20" i="9"/>
  <c r="CM38" i="9"/>
  <c r="CQ38" i="9"/>
  <c r="Q20" i="9"/>
  <c r="M37" i="9"/>
  <c r="BH31" i="9"/>
  <c r="BP37" i="9"/>
  <c r="V30" i="9"/>
  <c r="CI33" i="9"/>
  <c r="BE38" i="9"/>
  <c r="AM29" i="9"/>
  <c r="J31" i="9"/>
  <c r="AX32" i="9"/>
  <c r="BF29" i="9"/>
  <c r="BA24" i="9"/>
  <c r="CJ38" i="9"/>
  <c r="L22" i="9"/>
  <c r="CJ34" i="9"/>
  <c r="W23" i="9"/>
  <c r="AN38" i="9"/>
  <c r="BC30" i="9"/>
  <c r="BN21" i="9"/>
  <c r="AK35" i="9"/>
  <c r="W38" i="9"/>
  <c r="H33" i="9"/>
  <c r="Z20" i="9"/>
  <c r="CN31" i="9"/>
  <c r="AH24" i="9"/>
  <c r="Z33" i="9"/>
  <c r="AP34" i="9"/>
  <c r="CP34" i="9"/>
  <c r="CK34" i="9"/>
  <c r="BH30" i="9"/>
  <c r="CE36" i="9"/>
  <c r="S33" i="9"/>
  <c r="AK29" i="9"/>
  <c r="BM39" i="9"/>
  <c r="BS21" i="9"/>
  <c r="BH38" i="9"/>
  <c r="AE33" i="9"/>
  <c r="BF39" i="9"/>
  <c r="BE21" i="9"/>
  <c r="BO35" i="9"/>
  <c r="CL30" i="9"/>
  <c r="BQ37" i="9"/>
  <c r="CE37" i="9"/>
  <c r="L24" i="9"/>
  <c r="BQ21" i="9"/>
  <c r="BH26" i="9"/>
  <c r="L29" i="9"/>
  <c r="CN21" i="9"/>
  <c r="AV39" i="9"/>
  <c r="M22" i="9"/>
  <c r="AC28" i="9"/>
  <c r="AF24" i="9"/>
  <c r="G22" i="9"/>
  <c r="CP37" i="9"/>
  <c r="CA20" i="9"/>
  <c r="S30" i="9"/>
  <c r="AW22" i="9"/>
  <c r="CG26" i="9"/>
  <c r="DC9" i="19" s="1"/>
  <c r="O20" i="9"/>
  <c r="BP35" i="9"/>
  <c r="AO38" i="9"/>
  <c r="BE33" i="9"/>
  <c r="M28" i="9"/>
  <c r="BB21" i="9"/>
  <c r="AE24" i="9"/>
  <c r="CD21" i="9"/>
  <c r="H30" i="9"/>
  <c r="CA30" i="9"/>
  <c r="BJ38" i="9"/>
  <c r="W37" i="9"/>
  <c r="BM21" i="9"/>
  <c r="BR24" i="9"/>
  <c r="AJ20" i="9"/>
  <c r="AD33" i="9"/>
  <c r="BP33" i="9"/>
  <c r="BA37" i="9"/>
  <c r="AF22" i="9"/>
  <c r="I25" i="9"/>
  <c r="AS33" i="9"/>
  <c r="AG37" i="9"/>
  <c r="CJ20" i="9"/>
  <c r="BD30" i="9"/>
  <c r="BT25" i="9"/>
  <c r="BF22" i="9"/>
  <c r="AB29" i="9"/>
  <c r="BI25" i="9"/>
  <c r="CJ28" i="9"/>
  <c r="BL30" i="9"/>
  <c r="AZ20" i="9"/>
  <c r="BH37" i="9"/>
  <c r="AL20" i="9"/>
  <c r="AI25" i="9"/>
  <c r="CO35" i="9"/>
  <c r="CE33" i="9"/>
  <c r="BN33" i="9"/>
  <c r="CR37" i="9"/>
  <c r="Y20" i="9"/>
  <c r="CL29" i="9"/>
  <c r="AN23" i="9"/>
  <c r="AY36" i="9"/>
  <c r="U28" i="9"/>
  <c r="CH25" i="9"/>
  <c r="F31" i="9"/>
  <c r="BA27" i="9"/>
  <c r="AH37" i="9"/>
  <c r="AB36" i="9"/>
  <c r="AV34" i="9"/>
  <c r="CL34" i="9"/>
  <c r="H23" i="9"/>
  <c r="AJ32" i="9"/>
  <c r="K14" i="5"/>
  <c r="CD20" i="9"/>
  <c r="BW21" i="9"/>
  <c r="M34" i="9"/>
  <c r="CI24" i="9"/>
  <c r="CH23" i="9"/>
  <c r="AI33" i="9"/>
  <c r="CL38" i="9"/>
  <c r="BP29" i="9"/>
  <c r="T30" i="9"/>
  <c r="P37" i="9"/>
  <c r="AI34" i="9"/>
  <c r="AD38" i="9"/>
  <c r="Q38" i="9"/>
  <c r="M30" i="9"/>
  <c r="BM30" i="9"/>
  <c r="BL23" i="9"/>
  <c r="AM26" i="9"/>
  <c r="R34" i="9"/>
  <c r="BP27" i="9"/>
  <c r="AG21" i="9"/>
  <c r="V34" i="9"/>
  <c r="CL26" i="9"/>
  <c r="AR29" i="9"/>
  <c r="T20" i="9"/>
  <c r="BJ36" i="9"/>
  <c r="AW30" i="9"/>
  <c r="AI24" i="9"/>
  <c r="CJ29" i="9"/>
  <c r="CC23" i="9"/>
  <c r="CF20" i="9"/>
  <c r="O38" i="9"/>
  <c r="AZ39" i="9"/>
  <c r="BQ30" i="9"/>
  <c r="BH39" i="9"/>
  <c r="M21" i="9"/>
  <c r="AG38" i="9"/>
  <c r="CO37" i="9"/>
  <c r="Y38" i="9"/>
  <c r="AC23" i="9"/>
  <c r="BX31" i="9"/>
  <c r="CC38" i="9"/>
  <c r="BH34" i="9"/>
  <c r="K20" i="9"/>
  <c r="AW24" i="9"/>
  <c r="AF36" i="9"/>
  <c r="BW34" i="9"/>
  <c r="AC37" i="9"/>
  <c r="CE30" i="9"/>
  <c r="BQ34" i="9"/>
  <c r="AK32" i="9"/>
  <c r="BO23" i="9"/>
  <c r="BG37" i="9"/>
  <c r="J24" i="9"/>
  <c r="BN22" i="9"/>
  <c r="AU31" i="9"/>
  <c r="AD37" i="9"/>
  <c r="BB24" i="9"/>
  <c r="CA28" i="9"/>
  <c r="AK24" i="9"/>
  <c r="CN26" i="9"/>
  <c r="CB20" i="9"/>
  <c r="AF25" i="9"/>
  <c r="BK23" i="9"/>
  <c r="BL22" i="9"/>
  <c r="BX20" i="9"/>
  <c r="BX23" i="9"/>
  <c r="BV39" i="9"/>
  <c r="AQ39" i="9"/>
  <c r="CI39" i="9"/>
  <c r="CI34" i="9"/>
  <c r="AC21" i="9"/>
  <c r="CH29" i="9"/>
  <c r="CL39" i="9"/>
  <c r="AO28" i="9"/>
  <c r="BE24" i="9"/>
  <c r="Y32" i="9"/>
  <c r="AY30" i="9"/>
  <c r="Z30" i="9"/>
  <c r="BL33" i="9"/>
  <c r="BB26" i="9"/>
  <c r="CA36" i="9"/>
  <c r="AU20" i="9"/>
  <c r="Y22" i="9"/>
  <c r="AD25" i="9"/>
  <c r="BR35" i="9"/>
  <c r="AV37" i="9"/>
  <c r="BY20" i="9"/>
  <c r="BA34" i="9"/>
  <c r="CG23" i="9"/>
  <c r="DC6" i="19" s="1"/>
  <c r="AN24" i="9"/>
  <c r="AY25" i="9"/>
  <c r="BC38" i="9"/>
  <c r="AI22" i="9"/>
  <c r="AW21" i="9"/>
  <c r="AY34" i="9"/>
  <c r="BZ32" i="9"/>
  <c r="F25" i="9"/>
  <c r="CI26" i="9"/>
  <c r="J20" i="9"/>
  <c r="BL20" i="9"/>
  <c r="AX33" i="9"/>
  <c r="AL21" i="9"/>
  <c r="AN20" i="9"/>
  <c r="AX39" i="9"/>
  <c r="BY28" i="9"/>
  <c r="E33" i="9"/>
  <c r="O33" i="9"/>
  <c r="CR35" i="9"/>
  <c r="AI30" i="9"/>
  <c r="BR21" i="9"/>
  <c r="AT20" i="9"/>
  <c r="AG23" i="9"/>
  <c r="AJ23" i="9"/>
  <c r="BT37" i="9"/>
  <c r="BZ36" i="9"/>
  <c r="BY25" i="9"/>
  <c r="CB35" i="9"/>
  <c r="BF35" i="9"/>
  <c r="BI37" i="9"/>
  <c r="CR22" i="9"/>
  <c r="BP34" i="9"/>
  <c r="BO32" i="9"/>
  <c r="Q28" i="9"/>
  <c r="BV37" i="9"/>
  <c r="AQ31" i="9"/>
  <c r="BJ28" i="9"/>
  <c r="BT30" i="9"/>
  <c r="BN37" i="9"/>
  <c r="BC22" i="9"/>
  <c r="X20" i="9"/>
  <c r="F30" i="9"/>
  <c r="P38" i="9"/>
  <c r="CG30" i="9"/>
  <c r="DC13" i="19" s="1"/>
  <c r="CF27" i="9"/>
  <c r="AL30" i="9"/>
  <c r="N33" i="9"/>
  <c r="CN34" i="9"/>
  <c r="BG20" i="9"/>
  <c r="CN22" i="9"/>
  <c r="AU38" i="9"/>
  <c r="CR28" i="9"/>
  <c r="E35" i="9"/>
  <c r="AJ29" i="9"/>
  <c r="AA20" i="9"/>
  <c r="BA26" i="9"/>
  <c r="AS34" i="9"/>
  <c r="BK22" i="9"/>
  <c r="CQ24" i="9"/>
  <c r="AJ34" i="9"/>
  <c r="BL32" i="9"/>
  <c r="AK37" i="9"/>
  <c r="BC24" i="9"/>
  <c r="CN30" i="9"/>
  <c r="AJ33" i="9"/>
  <c r="Y28" i="9"/>
  <c r="CG34" i="9"/>
  <c r="DC17" i="19" s="1"/>
  <c r="AG29" i="9"/>
  <c r="Q24" i="9"/>
  <c r="BO22" i="9"/>
  <c r="AW33" i="9"/>
  <c r="BU26" i="9"/>
  <c r="Q37" i="9"/>
  <c r="P33" i="9"/>
  <c r="AO35" i="9"/>
  <c r="V38" i="9"/>
  <c r="CE25" i="9"/>
  <c r="AC36" i="9"/>
  <c r="AL28" i="9"/>
  <c r="J32" i="9"/>
  <c r="R21" i="9"/>
  <c r="AB37" i="9"/>
  <c r="CK21" i="9"/>
  <c r="BH28" i="9"/>
  <c r="AL24" i="9"/>
  <c r="AZ32" i="9"/>
  <c r="U38" i="9"/>
  <c r="AG35" i="9"/>
  <c r="CI21" i="9"/>
  <c r="AR31" i="9"/>
  <c r="BS33" i="9"/>
  <c r="Y21" i="9"/>
  <c r="AV25" i="9"/>
  <c r="AS28" i="9"/>
  <c r="AL35" i="9"/>
  <c r="CL28" i="9"/>
  <c r="CM28" i="9"/>
  <c r="Z28" i="9"/>
  <c r="AT35" i="9"/>
  <c r="CA26" i="9"/>
  <c r="BY38" i="9"/>
  <c r="CK29" i="9"/>
  <c r="J39" i="9"/>
  <c r="AQ27" i="9"/>
  <c r="CF34" i="9"/>
  <c r="BC28" i="9"/>
  <c r="AB34" i="9"/>
  <c r="AR36" i="9"/>
  <c r="CF25" i="9"/>
  <c r="T39" i="9"/>
  <c r="M33" i="9"/>
  <c r="BZ22" i="9"/>
  <c r="AX26" i="9"/>
  <c r="BM25" i="9"/>
  <c r="O29" i="9"/>
  <c r="H21" i="9"/>
  <c r="Y34" i="9"/>
  <c r="I20" i="9"/>
  <c r="I31" i="9"/>
  <c r="BV32" i="9"/>
  <c r="W35" i="9"/>
  <c r="BK26" i="9"/>
  <c r="AR34" i="9"/>
  <c r="BF38" i="9"/>
  <c r="BE32" i="9"/>
  <c r="O27" i="9"/>
  <c r="AM20" i="9"/>
  <c r="AF39" i="9"/>
  <c r="AO26" i="9"/>
  <c r="CD36" i="9"/>
  <c r="T28" i="9"/>
  <c r="BA25" i="9"/>
  <c r="CG35" i="9"/>
  <c r="DC18" i="19" s="1"/>
  <c r="AD36" i="9"/>
  <c r="J23" i="9"/>
  <c r="E20" i="9"/>
  <c r="CB36" i="9"/>
  <c r="BU37" i="9"/>
  <c r="BI34" i="9"/>
  <c r="AR20" i="9"/>
  <c r="BR34" i="9"/>
  <c r="P26" i="9"/>
  <c r="L37" i="9"/>
  <c r="BZ24" i="9"/>
  <c r="CA38" i="9"/>
  <c r="AC20" i="9"/>
  <c r="BS35" i="9"/>
  <c r="CL21" i="9"/>
  <c r="AL25" i="9"/>
  <c r="CQ37" i="9"/>
  <c r="H31" i="9"/>
  <c r="AV26" i="9"/>
  <c r="BK30" i="9"/>
  <c r="BB22" i="9"/>
  <c r="BU23" i="9"/>
  <c r="R24" i="9"/>
  <c r="AO21" i="9"/>
  <c r="BS20" i="9"/>
  <c r="AD27" i="9"/>
  <c r="AS29" i="9"/>
  <c r="CJ37" i="9"/>
  <c r="P21" i="9"/>
  <c r="AO30" i="9"/>
  <c r="H27" i="9"/>
  <c r="K37" i="9"/>
  <c r="BO29" i="9"/>
  <c r="BQ31" i="9"/>
  <c r="K31" i="9"/>
  <c r="BM37" i="9"/>
  <c r="BU35" i="9"/>
  <c r="CA21" i="9"/>
  <c r="AR39" i="9"/>
  <c r="M29" i="9"/>
  <c r="CD37" i="9"/>
  <c r="BQ38" i="9"/>
  <c r="BX33" i="9"/>
  <c r="BA35" i="9"/>
  <c r="CC28" i="9"/>
  <c r="AN37" i="9"/>
  <c r="CH21" i="9"/>
  <c r="BY32" i="9"/>
  <c r="CL35" i="9"/>
  <c r="CG39" i="9"/>
  <c r="DC22" i="19" s="1"/>
  <c r="AV36" i="9"/>
  <c r="AP26" i="9"/>
  <c r="BE39" i="9"/>
  <c r="AA27" i="9"/>
  <c r="G20" i="9"/>
  <c r="BF33" i="9"/>
  <c r="AI21" i="9"/>
  <c r="AF28" i="9"/>
  <c r="AY21" i="9"/>
  <c r="Y29" i="9"/>
  <c r="BL26" i="9"/>
  <c r="BN35" i="9"/>
  <c r="U21" i="9"/>
  <c r="AC24" i="9"/>
  <c r="L25" i="9"/>
  <c r="G27" i="9"/>
  <c r="CC24" i="9"/>
  <c r="E21" i="9"/>
  <c r="BF34" i="9"/>
  <c r="Z21" i="9"/>
  <c r="AF26" i="9"/>
  <c r="M36" i="9"/>
  <c r="BM28" i="9"/>
  <c r="AU21" i="9"/>
  <c r="AY20" i="9"/>
  <c r="BG25" i="9"/>
  <c r="S21" i="9"/>
  <c r="Z25" i="9"/>
  <c r="AI29" i="9"/>
  <c r="BG38" i="9"/>
  <c r="AF37" i="9"/>
  <c r="AZ22" i="9"/>
  <c r="L39" i="9"/>
  <c r="AT37" i="9"/>
  <c r="Z26" i="9"/>
  <c r="W26" i="9"/>
  <c r="V39" i="9"/>
  <c r="CI29" i="9"/>
  <c r="AO23" i="9"/>
  <c r="AG39" i="9"/>
  <c r="BN20" i="9"/>
  <c r="BV38" i="9"/>
  <c r="CE34" i="9"/>
  <c r="CF30" i="9"/>
  <c r="Q30" i="9"/>
  <c r="S27" i="9"/>
  <c r="O24" i="9"/>
  <c r="T26" i="9"/>
  <c r="AK21" i="9"/>
  <c r="R20" i="9"/>
  <c r="W27" i="9"/>
  <c r="W29" i="9"/>
  <c r="BN23" i="9"/>
  <c r="CJ33" i="9"/>
  <c r="BB37" i="9"/>
  <c r="BK32" i="9"/>
  <c r="AZ33" i="9"/>
  <c r="AS26" i="9"/>
  <c r="AH23" i="9"/>
  <c r="T22" i="9"/>
  <c r="CE27" i="9"/>
  <c r="CC29" i="9"/>
  <c r="BT38" i="9"/>
  <c r="CF37" i="9"/>
  <c r="BB23" i="9"/>
  <c r="BT22" i="9"/>
  <c r="AA34" i="9"/>
  <c r="H20" i="9"/>
  <c r="BH23" i="9"/>
  <c r="AO29" i="9"/>
  <c r="CC33" i="9"/>
  <c r="AU33" i="9"/>
  <c r="CJ39" i="9"/>
  <c r="R33" i="9"/>
  <c r="X39" i="9"/>
  <c r="L38" i="9"/>
  <c r="CE24" i="9"/>
  <c r="BM32" i="9"/>
  <c r="BF27" i="9"/>
  <c r="AV33" i="9"/>
  <c r="AX29" i="9"/>
  <c r="AD26" i="9"/>
  <c r="U36" i="9"/>
  <c r="CG22" i="9"/>
  <c r="DC5" i="19" s="1"/>
  <c r="BB38" i="9"/>
  <c r="E25" i="9"/>
  <c r="AP39" i="9"/>
  <c r="BK20" i="9"/>
  <c r="CH33" i="9"/>
  <c r="BF36" i="9"/>
  <c r="CB23" i="9"/>
  <c r="BP25" i="9"/>
  <c r="AY26" i="9"/>
  <c r="CF22" i="9"/>
  <c r="AW29" i="9"/>
  <c r="AI20" i="9"/>
  <c r="CO30" i="9"/>
  <c r="BT35" i="9"/>
  <c r="K33" i="9"/>
  <c r="BE30" i="9"/>
  <c r="BY39" i="9"/>
  <c r="L32" i="9"/>
  <c r="AE38" i="9"/>
  <c r="CD34" i="9"/>
  <c r="CL37" i="9"/>
  <c r="AU27" i="9"/>
  <c r="BW24" i="9"/>
  <c r="BV31" i="9"/>
  <c r="BR22" i="9"/>
  <c r="O31" i="9"/>
  <c r="L30" i="9"/>
  <c r="BQ26" i="9"/>
  <c r="BK29" i="9"/>
  <c r="BU20" i="9"/>
  <c r="CD31" i="9"/>
  <c r="CP35" i="9"/>
  <c r="CC39" i="9"/>
  <c r="AH36" i="9"/>
  <c r="AH31" i="9"/>
  <c r="BJ32" i="9"/>
  <c r="CH20" i="9"/>
  <c r="Q21" i="9"/>
  <c r="CC22" i="9"/>
  <c r="AR32" i="9"/>
  <c r="CE29" i="9"/>
  <c r="T33" i="9"/>
  <c r="BF37" i="9"/>
  <c r="AT34" i="9"/>
  <c r="CR38" i="9"/>
  <c r="O36" i="9"/>
  <c r="I30" i="9"/>
  <c r="CB33" i="9"/>
  <c r="CN24" i="9"/>
  <c r="G21" i="9"/>
  <c r="W30" i="9"/>
  <c r="CO24" i="9"/>
  <c r="AY24" i="9"/>
  <c r="P20" i="9"/>
  <c r="CF38" i="9"/>
  <c r="AU34" i="9"/>
  <c r="AA25" i="9"/>
  <c r="O37" i="9"/>
  <c r="AZ38" i="9"/>
  <c r="AZ21" i="9"/>
  <c r="W21" i="9"/>
  <c r="AS24" i="9"/>
  <c r="BX22" i="9"/>
  <c r="AW20" i="9"/>
  <c r="AP38" i="9"/>
  <c r="AL29" i="9"/>
  <c r="AQ22" i="9"/>
  <c r="AR30" i="9"/>
  <c r="BZ21" i="9"/>
  <c r="V21" i="9"/>
  <c r="Q23" i="9"/>
  <c r="AX36" i="9"/>
  <c r="BC37" i="9"/>
  <c r="CM25" i="9"/>
  <c r="X36" i="9"/>
  <c r="CL25" i="9"/>
  <c r="AW36" i="9"/>
  <c r="CP23" i="9"/>
  <c r="J28" i="9"/>
  <c r="O32" i="9"/>
  <c r="I39" i="9"/>
  <c r="BC36" i="9"/>
  <c r="S20" i="9"/>
  <c r="AD32" i="9"/>
  <c r="BR30" i="9"/>
  <c r="AN31" i="9"/>
  <c r="AO39" i="9"/>
  <c r="CC34" i="9"/>
  <c r="CA37" i="9"/>
  <c r="AA36" i="9"/>
  <c r="AE22" i="9"/>
  <c r="E38" i="9"/>
  <c r="BT32" i="9"/>
  <c r="AJ26" i="9"/>
  <c r="AO37" i="9"/>
  <c r="AO27" i="9"/>
  <c r="M25" i="9"/>
  <c r="AB25" i="9"/>
  <c r="BN36" i="9"/>
  <c r="AL39" i="9"/>
  <c r="CB22" i="9"/>
  <c r="CP29" i="9"/>
  <c r="BZ31" i="9"/>
  <c r="BS31" i="9"/>
  <c r="AW27" i="9"/>
  <c r="BX30" i="9"/>
  <c r="BT27" i="9"/>
  <c r="AK26" i="9"/>
  <c r="AJ38" i="9"/>
  <c r="BJ30" i="9"/>
  <c r="CH24" i="9"/>
  <c r="AT29" i="9"/>
  <c r="AA23" i="9"/>
  <c r="S29" i="9"/>
  <c r="BQ32" i="9"/>
  <c r="Y35" i="9"/>
  <c r="BF30" i="9"/>
  <c r="CD28" i="9"/>
  <c r="CH34" i="9"/>
  <c r="AQ33" i="9"/>
  <c r="CI38" i="9"/>
  <c r="J25" i="9"/>
  <c r="BC39" i="9"/>
  <c r="M26" i="9"/>
  <c r="R29" i="9"/>
  <c r="AS30" i="9"/>
  <c r="BJ21" i="9"/>
  <c r="BQ25" i="9"/>
  <c r="AH38" i="9"/>
  <c r="BW29" i="9"/>
  <c r="BA39" i="9"/>
  <c r="CB21" i="9"/>
  <c r="AB21" i="9"/>
  <c r="AA28" i="9"/>
  <c r="BS26" i="9"/>
  <c r="AI26" i="9"/>
  <c r="CR29" i="9"/>
  <c r="BE31" i="9"/>
  <c r="BN29" i="9"/>
  <c r="CR23" i="9"/>
  <c r="CI36" i="9"/>
  <c r="CH37" i="9"/>
  <c r="AT38" i="9"/>
  <c r="BA36" i="9"/>
  <c r="AV29" i="9"/>
  <c r="CC25" i="9"/>
  <c r="AQ36" i="9"/>
  <c r="AP30" i="9"/>
  <c r="Q39" i="9"/>
  <c r="AK36" i="9"/>
  <c r="CQ25" i="9"/>
  <c r="AR35" i="9"/>
  <c r="F32" i="9"/>
  <c r="BM29" i="9"/>
  <c r="BL34" i="9"/>
  <c r="CE35" i="9"/>
  <c r="CO21" i="9"/>
  <c r="BD25" i="9"/>
  <c r="K14" i="15"/>
  <c r="CB24" i="9"/>
  <c r="T34" i="9"/>
  <c r="BB31" i="9"/>
  <c r="BF32" i="9"/>
  <c r="BU33" i="9"/>
  <c r="S28" i="9"/>
  <c r="CC37" i="9"/>
  <c r="H34" i="9"/>
  <c r="P25" i="9"/>
  <c r="CA34" i="9"/>
  <c r="W33" i="9"/>
  <c r="N32" i="9"/>
  <c r="AG30" i="9"/>
  <c r="BQ23" i="9"/>
  <c r="BP32" i="9"/>
  <c r="G37" i="9"/>
  <c r="AN36" i="9"/>
  <c r="V32" i="9"/>
  <c r="BS27" i="9"/>
  <c r="AF21" i="9"/>
  <c r="X32" i="9"/>
  <c r="AG33" i="9"/>
  <c r="BH35" i="9"/>
  <c r="BR37" i="9"/>
  <c r="BS37" i="9"/>
  <c r="BM31" i="9"/>
  <c r="BE22" i="9"/>
  <c r="CQ26" i="9"/>
  <c r="CD24" i="9"/>
  <c r="AM33" i="9"/>
  <c r="BU25" i="9"/>
  <c r="F39" i="9"/>
  <c r="CO36" i="9"/>
  <c r="CE38" i="9"/>
  <c r="AJ25" i="9"/>
  <c r="AB26" i="9"/>
  <c r="K30" i="9"/>
  <c r="BK21" i="9"/>
  <c r="K23" i="9"/>
  <c r="BF21" i="9"/>
  <c r="S31" i="9"/>
  <c r="AU23" i="9"/>
  <c r="BV36" i="9"/>
  <c r="BZ30" i="9"/>
  <c r="AM37" i="9"/>
  <c r="BQ24" i="9"/>
  <c r="N36" i="9"/>
  <c r="AG25" i="9"/>
  <c r="Y23" i="9"/>
  <c r="CF39" i="9"/>
  <c r="BW22" i="9"/>
  <c r="BM27" i="9"/>
  <c r="BX39" i="9"/>
  <c r="BA20" i="9"/>
  <c r="H36" i="9"/>
  <c r="BQ35" i="9"/>
  <c r="Q34" i="9"/>
  <c r="AS25" i="9"/>
  <c r="AK20" i="9"/>
  <c r="BD27" i="9"/>
  <c r="K38" i="9"/>
  <c r="AU25" i="9"/>
  <c r="CR21" i="9"/>
  <c r="AB30" i="9"/>
  <c r="CK24" i="9"/>
  <c r="BD28" i="9"/>
  <c r="BZ34" i="9"/>
  <c r="AF23" i="9"/>
  <c r="AK34" i="9"/>
  <c r="F29" i="9"/>
  <c r="AT25" i="9"/>
  <c r="BP21" i="9"/>
  <c r="BQ27" i="9"/>
  <c r="AQ34" i="9"/>
  <c r="AI27" i="9"/>
  <c r="AR33" i="9"/>
  <c r="BT29" i="9"/>
  <c r="O34" i="9"/>
  <c r="BQ33" i="9"/>
  <c r="BA30" i="9"/>
  <c r="G29" i="9"/>
  <c r="I35" i="9"/>
  <c r="N35" i="9"/>
  <c r="AR38" i="9"/>
  <c r="AP32" i="9"/>
  <c r="CM21" i="9"/>
  <c r="AE34" i="9"/>
  <c r="BI23" i="9"/>
  <c r="BT28" i="9"/>
  <c r="CE23" i="9"/>
  <c r="AA32" i="9"/>
  <c r="CK31" i="9"/>
  <c r="Z39" i="9"/>
  <c r="BH32" i="9"/>
  <c r="CI27" i="9"/>
  <c r="BT39" i="9"/>
  <c r="AI37" i="9"/>
  <c r="AK25" i="9"/>
  <c r="BA33" i="9"/>
  <c r="AE21" i="9"/>
  <c r="R25" i="9"/>
  <c r="AF38" i="9"/>
  <c r="Y31" i="9"/>
  <c r="AN25" i="9"/>
  <c r="T38" i="9"/>
  <c r="AS38" i="9"/>
  <c r="R37" i="9"/>
  <c r="V22" i="9"/>
  <c r="BW23" i="9"/>
  <c r="AE30" i="9"/>
  <c r="Z29" i="9"/>
  <c r="CI22" i="9"/>
  <c r="BH21" i="9"/>
  <c r="E34" i="9"/>
  <c r="J21" i="9"/>
  <c r="BT33" i="9"/>
  <c r="BZ39" i="9"/>
  <c r="CP28" i="9"/>
  <c r="AH20" i="9"/>
  <c r="X21" i="9"/>
  <c r="CH22" i="9"/>
  <c r="N26" i="9"/>
  <c r="U32" i="9"/>
  <c r="AT39" i="9"/>
  <c r="AH26" i="9"/>
  <c r="CR39" i="9"/>
  <c r="CO25" i="9"/>
  <c r="BF25" i="9"/>
  <c r="BB25" i="9"/>
  <c r="BI33" i="9"/>
  <c r="CB29" i="9"/>
  <c r="V29" i="9"/>
  <c r="BN38" i="9"/>
  <c r="AX37" i="9"/>
  <c r="BK39" i="9"/>
  <c r="F23" i="9"/>
  <c r="CL33" i="9"/>
  <c r="AT31" i="9"/>
  <c r="CG21" i="9"/>
  <c r="DC4" i="19" s="1"/>
  <c r="G23" i="9"/>
  <c r="O39" i="9"/>
  <c r="AV38" i="9"/>
  <c r="AY32" i="9"/>
  <c r="L36" i="9"/>
  <c r="CM23" i="9"/>
  <c r="U27" i="9"/>
  <c r="AO22" i="9"/>
  <c r="BB29" i="9"/>
  <c r="CM20" i="9"/>
  <c r="AW28" i="9"/>
  <c r="BL39" i="9"/>
  <c r="V24" i="9"/>
  <c r="AS20" i="9"/>
  <c r="AE26" i="9"/>
  <c r="BV29" i="9"/>
  <c r="BD32" i="9"/>
  <c r="CQ21" i="9"/>
  <c r="AE27" i="9"/>
  <c r="CA24" i="9"/>
  <c r="N27" i="9"/>
  <c r="G28" i="9"/>
  <c r="N34" i="9"/>
  <c r="AQ25" i="9"/>
  <c r="W39" i="9"/>
  <c r="M23" i="9"/>
  <c r="BD21" i="9"/>
  <c r="AG20" i="9"/>
  <c r="AC27" i="9"/>
  <c r="BV24" i="9"/>
  <c r="AY27" i="9"/>
  <c r="AI28" i="9"/>
  <c r="CM32" i="9"/>
  <c r="CP20" i="9"/>
  <c r="AR21" i="9"/>
  <c r="BL27" i="9"/>
  <c r="CP25" i="9"/>
  <c r="BH24" i="9"/>
  <c r="AA39" i="9"/>
  <c r="AQ20" i="9"/>
  <c r="K14" i="22"/>
  <c r="AH21" i="9"/>
  <c r="P39" i="9"/>
  <c r="V23" i="9"/>
  <c r="CN28" i="9"/>
  <c r="BS23" i="9"/>
  <c r="BI38" i="9"/>
  <c r="CJ27" i="9"/>
  <c r="CI20" i="9"/>
  <c r="E27" i="9"/>
  <c r="CD25" i="9"/>
  <c r="AW31" i="9"/>
  <c r="AM30" i="9"/>
  <c r="AU26" i="9"/>
  <c r="AK38" i="9"/>
  <c r="AQ32" i="9"/>
  <c r="AI38" i="9"/>
  <c r="AM22" i="9"/>
  <c r="BJ27" i="9"/>
  <c r="CR24" i="9"/>
  <c r="BY22" i="9"/>
  <c r="CO33" i="9"/>
  <c r="M38" i="9"/>
  <c r="AS37" i="9"/>
  <c r="CG32" i="9"/>
  <c r="DC15" i="19" s="1"/>
  <c r="X28" i="9"/>
  <c r="AB35" i="9"/>
  <c r="BF24" i="9"/>
  <c r="BN24" i="9"/>
  <c r="BP22" i="9"/>
  <c r="AZ36" i="9"/>
  <c r="BD36" i="9"/>
  <c r="BV25" i="9"/>
  <c r="AB31" i="9"/>
  <c r="CB38" i="9"/>
  <c r="BM34" i="9"/>
  <c r="BG24" i="9"/>
  <c r="M39" i="9"/>
  <c r="U26" i="9"/>
  <c r="BH25" i="9"/>
  <c r="AL32" i="9"/>
  <c r="AB27" i="9"/>
  <c r="CC20" i="9"/>
  <c r="CK22" i="9"/>
  <c r="Y27" i="9"/>
  <c r="BA23" i="9"/>
  <c r="CJ25" i="9"/>
  <c r="AV31" i="9"/>
  <c r="BI27" i="9"/>
  <c r="AE36" i="9"/>
  <c r="CI31" i="9"/>
  <c r="Y26" i="9"/>
  <c r="AW32" i="9"/>
  <c r="R28" i="9"/>
  <c r="AF31" i="9"/>
  <c r="CM35" i="9"/>
  <c r="K24" i="9"/>
  <c r="J30" i="9"/>
  <c r="BL25" i="9"/>
  <c r="G34" i="9"/>
  <c r="AK30" i="9"/>
  <c r="AV27" i="9"/>
  <c r="L26" i="9"/>
  <c r="CE39" i="9"/>
  <c r="CH30" i="9"/>
  <c r="O30" i="9"/>
  <c r="BJ29" i="9"/>
  <c r="W25" i="9"/>
  <c r="CD23" i="9"/>
  <c r="CB30" i="9"/>
  <c r="CB39" i="9"/>
  <c r="X37" i="9"/>
  <c r="BD37" i="9"/>
  <c r="AZ25" i="9"/>
  <c r="AW35" i="9"/>
  <c r="BD29" i="9"/>
  <c r="BE25" i="9"/>
  <c r="CD26" i="9"/>
  <c r="AV22" i="9"/>
  <c r="BE36" i="9"/>
  <c r="U33" i="9"/>
  <c r="L33" i="9"/>
  <c r="R23" i="9"/>
  <c r="AA38" i="9"/>
  <c r="BG26" i="9"/>
  <c r="AS35" i="9"/>
  <c r="BY26" i="9"/>
  <c r="M24" i="9"/>
  <c r="N24" i="9"/>
  <c r="BT21" i="9"/>
  <c r="BP31" i="9"/>
  <c r="BV33" i="9"/>
  <c r="AU22" i="9"/>
  <c r="Y33" i="9"/>
  <c r="G36" i="9"/>
  <c r="I36" i="9"/>
  <c r="AZ23" i="9"/>
  <c r="AT32" i="9"/>
  <c r="AF20" i="9"/>
  <c r="AC25" i="9"/>
  <c r="AI31" i="9"/>
  <c r="T35" i="9"/>
  <c r="U39" i="9"/>
  <c r="CO32" i="9"/>
  <c r="BV22" i="9"/>
  <c r="CK28" i="9"/>
  <c r="K26" i="9"/>
  <c r="BG36" i="9"/>
  <c r="CB28" i="9"/>
  <c r="AD28" i="9"/>
  <c r="K22" i="9"/>
  <c r="AZ26" i="9"/>
  <c r="I26" i="9"/>
  <c r="BG23" i="9"/>
  <c r="CK30" i="9"/>
  <c r="BV28" i="9"/>
  <c r="AB39" i="9"/>
  <c r="BW35" i="9"/>
  <c r="AU35" i="9"/>
  <c r="E24" i="9"/>
  <c r="F35" i="9"/>
  <c r="AG27" i="9"/>
  <c r="AM39" i="9"/>
  <c r="BR29" i="9"/>
  <c r="AH33" i="9"/>
  <c r="Q27" i="9"/>
  <c r="BY34" i="9"/>
  <c r="BI35" i="9"/>
  <c r="AZ31" i="9"/>
  <c r="BX35" i="9"/>
  <c r="CL36" i="9"/>
  <c r="K28" i="9"/>
  <c r="BN27" i="9"/>
  <c r="CL23" i="9"/>
  <c r="M27" i="9"/>
  <c r="CK37" i="9"/>
  <c r="AO33" i="9"/>
  <c r="K27" i="9"/>
  <c r="BD35" i="9"/>
  <c r="BD38" i="9"/>
  <c r="BD39" i="9"/>
  <c r="Y24" i="9"/>
  <c r="BA31" i="9"/>
  <c r="I37" i="9"/>
  <c r="BK37" i="9"/>
  <c r="CB32" i="9"/>
  <c r="AE32" i="9"/>
  <c r="AE35" i="9"/>
  <c r="S34" i="9"/>
  <c r="CE20" i="9"/>
  <c r="G32" i="9"/>
  <c r="AT28" i="9"/>
  <c r="AL23" i="9"/>
  <c r="AS31" i="9"/>
  <c r="BB34" i="9"/>
  <c r="CM33" i="9"/>
  <c r="X25" i="9"/>
  <c r="BZ33" i="9"/>
  <c r="T25" i="9"/>
  <c r="G39" i="9"/>
  <c r="CA31" i="9"/>
  <c r="BS32" i="9"/>
  <c r="CF23" i="9"/>
  <c r="AJ22" i="9"/>
  <c r="AB38" i="9"/>
  <c r="AJ37" i="9"/>
  <c r="BK31" i="9"/>
  <c r="BU32" i="9"/>
  <c r="AT27" i="9"/>
  <c r="BX27" i="9"/>
  <c r="AC22" i="9"/>
  <c r="H38" i="9"/>
  <c r="Y30" i="9"/>
  <c r="N21" i="9"/>
  <c r="F34" i="9"/>
  <c r="AO36" i="9"/>
  <c r="AT26" i="9"/>
  <c r="BT20" i="9"/>
  <c r="BB20" i="9"/>
  <c r="F28" i="9"/>
  <c r="BO36" i="9"/>
  <c r="CH35" i="9"/>
  <c r="U20" i="9"/>
  <c r="T32" i="9"/>
  <c r="CJ23" i="9"/>
  <c r="AX30" i="9"/>
  <c r="AB23" i="9"/>
  <c r="BE28" i="9"/>
  <c r="AX20" i="9"/>
  <c r="P32" i="9"/>
  <c r="U29" i="9"/>
  <c r="BQ28" i="9"/>
  <c r="AX28" i="9"/>
  <c r="BU29" i="9"/>
  <c r="O25" i="9"/>
  <c r="L23" i="9"/>
  <c r="K14" i="18"/>
  <c r="BC35" i="9"/>
  <c r="AF29" i="9"/>
  <c r="CM39" i="9"/>
  <c r="AJ36" i="9"/>
  <c r="CB25" i="9"/>
  <c r="AD31" i="9"/>
  <c r="CF24" i="9"/>
  <c r="L35" i="9"/>
  <c r="E39" i="9"/>
  <c r="CJ31" i="9"/>
  <c r="CC30" i="9"/>
  <c r="AV28" i="9"/>
  <c r="CG31" i="9"/>
  <c r="DC14" i="19" s="1"/>
  <c r="CJ30" i="9"/>
  <c r="BS24" i="9"/>
  <c r="BS30" i="9"/>
  <c r="AR25" i="9"/>
  <c r="CR30" i="9"/>
  <c r="CL27" i="9"/>
  <c r="I33" i="9"/>
  <c r="AW38" i="9"/>
  <c r="CQ20" i="9"/>
  <c r="CF33" i="9"/>
  <c r="BC20" i="9"/>
  <c r="BP20" i="9"/>
  <c r="CG29" i="9"/>
  <c r="DC12" i="19" s="1"/>
  <c r="Z35" i="9"/>
  <c r="AF32" i="9"/>
  <c r="V36" i="9"/>
  <c r="N20" i="9"/>
  <c r="BJ23" i="9"/>
  <c r="AC35" i="9"/>
  <c r="CA25" i="9"/>
  <c r="BX25" i="9"/>
  <c r="AE28" i="9"/>
  <c r="CE21" i="9"/>
  <c r="AO31" i="9"/>
  <c r="CQ23" i="9"/>
  <c r="AU28" i="9"/>
  <c r="CB26" i="9"/>
  <c r="BB36" i="9"/>
  <c r="P27" i="9"/>
  <c r="AP22" i="9"/>
  <c r="R30" i="9"/>
  <c r="CH32" i="9"/>
  <c r="CM22" i="9"/>
  <c r="U31" i="9"/>
  <c r="AE23" i="9"/>
  <c r="K36" i="9"/>
  <c r="BO33" i="9"/>
  <c r="BP30" i="9"/>
  <c r="P29" i="9"/>
  <c r="CH31" i="9"/>
  <c r="AY39" i="9"/>
  <c r="F36" i="9"/>
  <c r="BI31" i="9"/>
  <c r="BB35" i="9"/>
  <c r="CP32" i="9"/>
  <c r="CJ26" i="9"/>
  <c r="CJ22" i="9"/>
  <c r="Z36" i="9"/>
  <c r="CF26" i="9"/>
  <c r="M31" i="9"/>
  <c r="X31" i="9"/>
  <c r="P22" i="9"/>
  <c r="I32" i="9"/>
  <c r="BO34" i="9"/>
  <c r="AD29" i="9"/>
  <c r="AC32" i="9"/>
  <c r="BY29" i="9"/>
  <c r="BC21" i="9"/>
  <c r="AA33" i="9"/>
  <c r="BH29" i="9"/>
  <c r="AV32" i="9"/>
  <c r="CG33" i="9"/>
  <c r="DC16" i="19" s="1"/>
  <c r="BV35" i="9"/>
  <c r="AP25" i="9"/>
  <c r="CM31" i="9"/>
  <c r="Z31" i="9"/>
  <c r="AK31" i="9"/>
  <c r="CK38" i="9"/>
  <c r="AL26" i="9"/>
  <c r="BK36" i="9"/>
  <c r="R32" i="9"/>
  <c r="M32" i="9"/>
  <c r="CD38" i="9"/>
  <c r="CG27" i="9"/>
  <c r="DC10" i="19" s="1"/>
  <c r="CQ36" i="9"/>
  <c r="BX36" i="9"/>
  <c r="CO23" i="9"/>
  <c r="AD22" i="9"/>
  <c r="BO25" i="9"/>
  <c r="AG28" i="9"/>
  <c r="BO30" i="9"/>
  <c r="AL37" i="9"/>
  <c r="BS36" i="9"/>
  <c r="BD22" i="9"/>
  <c r="G35" i="9"/>
  <c r="BJ39" i="9"/>
  <c r="AR27" i="9"/>
  <c r="CJ32" i="9"/>
  <c r="Z23" i="9"/>
  <c r="S25" i="9"/>
  <c r="CC32" i="9"/>
  <c r="BG30" i="9"/>
  <c r="BD26" i="9"/>
  <c r="CG36" i="9"/>
  <c r="DC19" i="19" s="1"/>
  <c r="CM37" i="9"/>
  <c r="AY33" i="9"/>
  <c r="CA32" i="9"/>
  <c r="AS23" i="9"/>
  <c r="AY31" i="9"/>
  <c r="BP24" i="9"/>
  <c r="CF28" i="9"/>
  <c r="CN32" i="9"/>
  <c r="AQ21" i="9"/>
  <c r="AS39" i="9"/>
  <c r="AW26" i="9"/>
  <c r="H24" i="9"/>
  <c r="AA31" i="9"/>
  <c r="P34" i="9"/>
  <c r="AI23" i="9"/>
  <c r="R22" i="9"/>
  <c r="BX29" i="9"/>
  <c r="AN35" i="9"/>
  <c r="BO27" i="9"/>
  <c r="BZ26" i="9"/>
  <c r="BX38" i="9"/>
  <c r="CQ28" i="9"/>
  <c r="BP23" i="9"/>
  <c r="BV27" i="9"/>
  <c r="P23" i="9"/>
  <c r="N28" i="9"/>
  <c r="P36" i="9"/>
  <c r="V26" i="9"/>
  <c r="BC33" i="9"/>
  <c r="CA39" i="9"/>
  <c r="BN28" i="9"/>
  <c r="BR33" i="9"/>
  <c r="L31" i="9"/>
  <c r="AM28" i="9"/>
  <c r="F33" i="9"/>
  <c r="P30" i="9"/>
  <c r="CA27" i="9"/>
  <c r="G30" i="9"/>
  <c r="AV24" i="9"/>
  <c r="AV20" i="9"/>
  <c r="CP24" i="9"/>
  <c r="BN32" i="9"/>
  <c r="BY33" i="9"/>
  <c r="AN26" i="9"/>
  <c r="CC36" i="9"/>
  <c r="AX23" i="9"/>
  <c r="AM23" i="9"/>
  <c r="Q35" i="9"/>
  <c r="BJ34" i="9"/>
  <c r="W28" i="9"/>
  <c r="BU39" i="9"/>
  <c r="BJ24" i="9"/>
  <c r="AP35" i="9"/>
  <c r="AW39" i="9"/>
  <c r="BZ23" i="9"/>
  <c r="AU32" i="9"/>
  <c r="BC29" i="9"/>
  <c r="H26" i="9"/>
  <c r="AX35" i="9"/>
  <c r="CA29" i="9"/>
  <c r="E36" i="9"/>
  <c r="X22" i="9"/>
  <c r="CP31" i="9"/>
  <c r="S24" i="9"/>
  <c r="BA21" i="9"/>
  <c r="BW36" i="9"/>
  <c r="Y37" i="9"/>
  <c r="BS39" i="9"/>
  <c r="AQ38" i="9"/>
  <c r="F26" i="9"/>
  <c r="BM23" i="9"/>
  <c r="AO25" i="9"/>
  <c r="BO37" i="9"/>
  <c r="BU30" i="9"/>
  <c r="AS36" i="9"/>
  <c r="AJ27" i="9"/>
  <c r="J22" i="9"/>
  <c r="BH36" i="9"/>
  <c r="AQ24" i="9"/>
  <c r="H35" i="9"/>
  <c r="CD27" i="9"/>
  <c r="X38" i="9"/>
  <c r="S32" i="9"/>
  <c r="BL37" i="9"/>
  <c r="V20" i="9"/>
  <c r="BG21" i="9"/>
  <c r="K35" i="9"/>
  <c r="X29" i="9"/>
  <c r="BE27" i="9"/>
  <c r="BO26" i="9"/>
  <c r="BU38" i="9"/>
  <c r="CO28" i="9"/>
  <c r="BF31" i="9"/>
  <c r="O26" i="9"/>
  <c r="BB33" i="9"/>
  <c r="CF29" i="9"/>
  <c r="K25" i="9"/>
  <c r="CG24" i="9"/>
  <c r="DC7" i="19" s="1"/>
  <c r="K32" i="9"/>
  <c r="AX27" i="9"/>
  <c r="AW37" i="9"/>
  <c r="AJ28" i="9"/>
  <c r="F20" i="9"/>
  <c r="AP23" i="9"/>
  <c r="AT24" i="9"/>
  <c r="I24" i="9"/>
  <c r="AX25" i="9"/>
  <c r="CN38" i="9"/>
  <c r="M20" i="9"/>
  <c r="AC33" i="9"/>
  <c r="CN29" i="9"/>
  <c r="CR25" i="9"/>
  <c r="AG32" i="9"/>
  <c r="AN27" i="9"/>
  <c r="CN35" i="9"/>
  <c r="Y39" i="9"/>
  <c r="BO24" i="9"/>
  <c r="CO26" i="9"/>
  <c r="R26" i="9"/>
  <c r="BZ37" i="9"/>
  <c r="AY29" i="9"/>
  <c r="Z27" i="9"/>
  <c r="BJ37" i="9"/>
  <c r="BW27" i="9"/>
  <c r="AF27" i="9"/>
  <c r="CC31" i="9"/>
  <c r="F22" i="9"/>
  <c r="BF26" i="9"/>
  <c r="E29" i="9"/>
  <c r="CQ31" i="9"/>
  <c r="AG34" i="9"/>
  <c r="AR28" i="9"/>
  <c r="T36" i="9"/>
  <c r="AF35" i="9"/>
  <c r="AJ39" i="9"/>
  <c r="CN36" i="9"/>
  <c r="J26" i="9"/>
  <c r="AR22" i="9"/>
  <c r="CQ22" i="9"/>
  <c r="BR27" i="9"/>
  <c r="CB31" i="9"/>
  <c r="W34" i="9"/>
  <c r="BK25" i="9"/>
  <c r="X24" i="9"/>
  <c r="CQ32" i="9"/>
  <c r="AA35" i="9"/>
  <c r="BJ31" i="9"/>
  <c r="H28" i="9"/>
  <c r="O23" i="9"/>
  <c r="BG28" i="9"/>
  <c r="AM35" i="9"/>
  <c r="V33" i="9"/>
  <c r="BX26" i="9"/>
  <c r="AE25" i="9"/>
  <c r="I27" i="9"/>
  <c r="BP28" i="9"/>
  <c r="AL31" i="9"/>
  <c r="BP36" i="9"/>
  <c r="CH39" i="9"/>
  <c r="BW28" i="9"/>
  <c r="BX24" i="9"/>
  <c r="AC38" i="9"/>
  <c r="AS22" i="9"/>
  <c r="BQ20" i="9"/>
  <c r="AI36" i="9"/>
  <c r="CG37" i="9"/>
  <c r="DC20" i="19" s="1"/>
  <c r="H32" i="9"/>
  <c r="CC35" i="9"/>
  <c r="CD33" i="9"/>
  <c r="O35" i="9"/>
  <c r="AE37" i="9"/>
  <c r="BX37" i="9"/>
  <c r="BI24" i="9"/>
  <c r="CN20" i="9"/>
  <c r="AL36" i="9"/>
  <c r="BB30" i="9"/>
  <c r="BQ39" i="9"/>
  <c r="L28" i="9"/>
  <c r="BD31" i="9"/>
  <c r="H39" i="9"/>
  <c r="BS28" i="9"/>
  <c r="CK32" i="9"/>
  <c r="AZ28" i="9"/>
  <c r="BY27" i="9"/>
  <c r="BL35" i="9"/>
  <c r="AC26" i="9"/>
  <c r="AO24" i="9"/>
  <c r="BB28" i="9"/>
  <c r="AJ24" i="9"/>
  <c r="CQ30" i="9"/>
  <c r="BM36" i="9"/>
  <c r="CH26" i="9"/>
  <c r="CP21" i="9"/>
  <c r="CQ39" i="9"/>
  <c r="BQ29" i="9"/>
  <c r="U22" i="9"/>
  <c r="CE28" i="9"/>
  <c r="E30" i="9"/>
  <c r="BI22" i="9"/>
  <c r="AT23" i="9"/>
  <c r="CL32" i="9"/>
  <c r="L27" i="9"/>
  <c r="BI28" i="9"/>
  <c r="BG34" i="9"/>
  <c r="AX31" i="9"/>
  <c r="CD35" i="9"/>
  <c r="AB33" i="9"/>
  <c r="CC27" i="9"/>
  <c r="AM24" i="9"/>
  <c r="K39" i="9"/>
  <c r="AR37" i="9"/>
  <c r="BK27" i="9"/>
  <c r="L21" i="9"/>
  <c r="BU36" i="9"/>
  <c r="V31" i="9"/>
  <c r="M35" i="9"/>
  <c r="BA28" i="9"/>
  <c r="BV26" i="9"/>
  <c r="BR39" i="9"/>
  <c r="AK39" i="9"/>
  <c r="AA26" i="9"/>
  <c r="X33" i="9"/>
  <c r="F38" i="9"/>
  <c r="T29" i="9"/>
  <c r="BV34" i="9"/>
  <c r="Z32" i="9"/>
  <c r="N39" i="9"/>
  <c r="F27" i="9"/>
  <c r="AG31" i="9"/>
  <c r="AR23" i="9"/>
  <c r="CR33" i="9"/>
  <c r="BU22" i="9"/>
  <c r="AQ23" i="9"/>
  <c r="CQ33" i="9"/>
  <c r="BE23" i="9"/>
  <c r="CM36" i="9"/>
  <c r="BN26" i="9"/>
  <c r="BS29" i="9"/>
  <c r="AL34" i="9"/>
  <c r="V27" i="9"/>
  <c r="X27" i="9"/>
  <c r="BL24" i="9"/>
  <c r="E32" i="9"/>
  <c r="AC34" i="9"/>
  <c r="CP27" i="9"/>
  <c r="R38" i="9"/>
  <c r="BT23" i="9"/>
  <c r="BS38" i="9"/>
  <c r="AM36" i="9"/>
  <c r="AY23" i="9"/>
  <c r="CN39" i="9"/>
  <c r="AD30" i="9"/>
  <c r="BF20" i="9"/>
  <c r="AX34" i="9"/>
  <c r="BW32" i="9"/>
  <c r="R27" i="9"/>
  <c r="G25" i="9"/>
  <c r="AX24" i="9"/>
  <c r="CD22" i="9"/>
  <c r="AY22" i="9"/>
  <c r="BG35" i="9"/>
  <c r="CI30" i="9"/>
  <c r="AZ34" i="9"/>
  <c r="BR25" i="9"/>
  <c r="CE22" i="9"/>
  <c r="H37" i="9"/>
  <c r="J33" i="9"/>
  <c r="CN33" i="9"/>
  <c r="AF34" i="9"/>
  <c r="AJ30" i="9"/>
  <c r="BQ36" i="9"/>
  <c r="BR23" i="9"/>
  <c r="BM35" i="9"/>
  <c r="AB28" i="9"/>
  <c r="AU37" i="9"/>
  <c r="AD39" i="9"/>
  <c r="AU36" i="9"/>
  <c r="AW25" i="9"/>
  <c r="AZ24" i="9"/>
  <c r="AN33" i="9"/>
  <c r="CN27" i="9"/>
  <c r="BD23" i="9"/>
  <c r="BZ28" i="9"/>
  <c r="CI37" i="9"/>
  <c r="BY37" i="9"/>
  <c r="BW38" i="9"/>
  <c r="BC25" i="9"/>
  <c r="AM31" i="9"/>
  <c r="AP37" i="9"/>
  <c r="CQ29" i="9"/>
  <c r="CN23" i="9"/>
  <c r="T23" i="9"/>
  <c r="BU31" i="9"/>
  <c r="O28" i="9"/>
  <c r="AA24" i="9"/>
  <c r="H22" i="9"/>
  <c r="AA22" i="9"/>
  <c r="CG28" i="9"/>
  <c r="DC11" i="19" s="1"/>
  <c r="CR27" i="9"/>
  <c r="CL24" i="9"/>
  <c r="BR38" i="9"/>
  <c r="CP36" i="9"/>
  <c r="W32" i="9"/>
  <c r="AB32" i="9"/>
  <c r="S38" i="9"/>
  <c r="BW20" i="9"/>
  <c r="AE31" i="9"/>
  <c r="BJ26" i="9"/>
  <c r="AD35" i="9"/>
  <c r="AZ35" i="9"/>
  <c r="G38" i="9"/>
  <c r="CA35" i="9"/>
  <c r="AG26" i="9"/>
  <c r="I23" i="9"/>
  <c r="AA29" i="9"/>
  <c r="BA32" i="9"/>
  <c r="AN29" i="9"/>
  <c r="Z22" i="9"/>
  <c r="BO20" i="9"/>
  <c r="CK35" i="9"/>
  <c r="BH22" i="9"/>
  <c r="BI39" i="9"/>
  <c r="BF23" i="9"/>
  <c r="BW26" i="9"/>
  <c r="AY28" i="9"/>
  <c r="P28" i="9"/>
  <c r="O21" i="9"/>
  <c r="CG25" i="9"/>
  <c r="DC8" i="19" s="1"/>
  <c r="R39" i="9"/>
  <c r="AM38" i="9"/>
  <c r="I22" i="9"/>
  <c r="CF36" i="9"/>
  <c r="CC21" i="9"/>
  <c r="CB27" i="9"/>
  <c r="J37" i="9"/>
  <c r="W24" i="9"/>
  <c r="BO39" i="9"/>
  <c r="U23" i="9"/>
  <c r="S36" i="9"/>
  <c r="AX38" i="9"/>
  <c r="BH33" i="9"/>
  <c r="CH38" i="9"/>
  <c r="CF32" i="9"/>
  <c r="AY37" i="9"/>
  <c r="BW33" i="9"/>
  <c r="BM22" i="9"/>
  <c r="E22" i="9"/>
  <c r="V25" i="9"/>
  <c r="AY38" i="9"/>
  <c r="CQ34" i="9"/>
  <c r="CR31" i="9"/>
  <c r="BB32" i="9"/>
  <c r="BV23" i="9"/>
  <c r="Z24" i="9"/>
  <c r="BL38" i="9"/>
  <c r="CE31" i="9"/>
  <c r="BU28" i="9"/>
  <c r="BV20" i="9"/>
  <c r="CI32" i="9"/>
  <c r="Z34" i="9"/>
  <c r="AL33" i="9"/>
  <c r="AT21" i="9"/>
  <c r="BL36" i="9"/>
  <c r="BK33" i="9"/>
  <c r="AR26" i="9"/>
  <c r="BN39" i="9"/>
  <c r="CB34" i="9"/>
  <c r="AO32" i="9"/>
  <c r="Z38" i="9"/>
  <c r="S23" i="9"/>
  <c r="N30" i="9"/>
  <c r="CR20" i="9"/>
  <c r="R36" i="9"/>
  <c r="U25" i="9"/>
  <c r="N38" i="9"/>
  <c r="U24" i="9"/>
  <c r="CO34" i="9"/>
  <c r="BW30" i="9"/>
  <c r="BL31" i="9"/>
  <c r="AV35" i="9"/>
  <c r="BC32" i="9"/>
  <c r="AU24" i="9"/>
  <c r="BR36" i="9"/>
  <c r="I38" i="9"/>
  <c r="CI35" i="9"/>
  <c r="AZ29" i="9"/>
  <c r="AG24" i="9"/>
  <c r="W31" i="9"/>
  <c r="X35" i="9"/>
  <c r="CF31" i="9"/>
  <c r="BI30" i="9"/>
  <c r="I28" i="9"/>
  <c r="AI35" i="9"/>
  <c r="AK33" i="9"/>
  <c r="BN31" i="9"/>
  <c r="AA30" i="9"/>
  <c r="AQ30" i="9"/>
  <c r="U35" i="9"/>
  <c r="BW39" i="9"/>
  <c r="AI39" i="9"/>
  <c r="AM32" i="9"/>
  <c r="AQ28" i="9"/>
  <c r="BJ20" i="9"/>
  <c r="AP20" i="9"/>
  <c r="N25" i="9"/>
  <c r="G31" i="9"/>
  <c r="J36" i="9"/>
  <c r="BP26" i="9"/>
  <c r="BA22" i="9"/>
  <c r="BR26" i="9"/>
  <c r="CR34" i="9"/>
  <c r="U30" i="9"/>
  <c r="AT22" i="9"/>
  <c r="BD34" i="9"/>
  <c r="Y36" i="9"/>
  <c r="CE26" i="9"/>
  <c r="AP31" i="9"/>
  <c r="BI36" i="9"/>
  <c r="BT24" i="9"/>
  <c r="BK35" i="9"/>
  <c r="AP27" i="9"/>
  <c r="CK33" i="9"/>
  <c r="V37" i="9"/>
  <c r="AK27" i="9"/>
  <c r="AC39" i="9"/>
  <c r="AH28" i="9"/>
  <c r="CO20" i="9"/>
  <c r="CN37" i="9"/>
  <c r="N37" i="9"/>
  <c r="AQ29" i="9"/>
  <c r="AB22" i="9"/>
  <c r="AT36" i="9"/>
  <c r="AR24" i="9"/>
  <c r="AU29" i="9"/>
  <c r="AD23" i="9"/>
  <c r="AM25" i="9"/>
  <c r="Q25" i="9"/>
  <c r="N22" i="9"/>
  <c r="AV30" i="9"/>
  <c r="Y25" i="9"/>
  <c r="AI32" i="9"/>
  <c r="L20" i="9"/>
  <c r="BG22" i="9"/>
  <c r="AH27" i="9"/>
  <c r="BC31" i="9"/>
  <c r="BK34" i="9"/>
  <c r="BH27" i="9"/>
  <c r="BP39" i="9"/>
  <c r="BI26" i="9"/>
  <c r="AW34" i="9"/>
  <c r="AQ26" i="9"/>
  <c r="CM27" i="9"/>
  <c r="BT31" i="9"/>
  <c r="CJ36" i="9"/>
  <c r="CJ35" i="9"/>
  <c r="AH35" i="9"/>
  <c r="CH27" i="9"/>
  <c r="CO39" i="9"/>
  <c r="BE29" i="9"/>
  <c r="AH29" i="9"/>
  <c r="CI28" i="9"/>
  <c r="CP22" i="9"/>
  <c r="CH28" i="9"/>
  <c r="CK36" i="9"/>
  <c r="BA38" i="9"/>
  <c r="BV30" i="9"/>
  <c r="BS22" i="9"/>
  <c r="CF21" i="9"/>
  <c r="AC31" i="9"/>
  <c r="T31" i="9"/>
  <c r="BX34" i="9"/>
  <c r="CO22" i="9"/>
  <c r="Q29" i="9"/>
  <c r="BS34" i="9"/>
  <c r="CD39" i="9"/>
  <c r="E28" i="9"/>
  <c r="J29" i="9"/>
  <c r="BG31" i="9"/>
  <c r="P31" i="9"/>
  <c r="V35" i="9"/>
  <c r="BK28" i="9"/>
  <c r="AY35" i="9"/>
  <c r="BC26" i="9"/>
  <c r="BQ22" i="9"/>
  <c r="CK26" i="9"/>
  <c r="AG22" i="9"/>
  <c r="BO31" i="9"/>
  <c r="AH39" i="9"/>
  <c r="BG32" i="9"/>
  <c r="BX28" i="9"/>
  <c r="AV23" i="9"/>
  <c r="BT36" i="9"/>
  <c r="BE35" i="9"/>
  <c r="R35" i="9"/>
  <c r="CA23" i="9"/>
  <c r="AN34" i="9"/>
  <c r="BW37" i="9"/>
  <c r="BH20" i="9"/>
  <c r="AC30" i="9"/>
  <c r="CM29" i="9"/>
  <c r="AP28" i="9"/>
  <c r="CN25" i="9"/>
  <c r="AJ31" i="9"/>
  <c r="CH36" i="9"/>
  <c r="BY35" i="9"/>
  <c r="BN34" i="9"/>
  <c r="J27" i="9"/>
  <c r="BC27" i="9"/>
  <c r="CJ24" i="9"/>
  <c r="BL29" i="9"/>
  <c r="BR32" i="9"/>
  <c r="AZ27" i="9"/>
  <c r="BR31" i="9"/>
  <c r="BE37" i="9"/>
  <c r="H29" i="9"/>
  <c r="T24" i="9"/>
  <c r="BY24" i="9"/>
  <c r="BD33" i="9"/>
  <c r="BY36" i="9"/>
  <c r="BI32" i="9"/>
  <c r="BY31" i="9"/>
  <c r="BC23" i="9"/>
  <c r="BY30" i="9"/>
  <c r="AP24" i="9"/>
  <c r="J35" i="9"/>
  <c r="S35"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8" i="9"/>
  <c r="P9" i="9"/>
  <c r="L10" i="9"/>
  <c r="L9" i="9"/>
  <c r="P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210" i="14"/>
  <c r="G1692" i="21"/>
  <c r="Q55" i="9"/>
  <c r="I134" i="15"/>
  <c r="CP55" i="9"/>
  <c r="G514" i="14"/>
  <c r="F96" i="14"/>
  <c r="I666" i="14"/>
  <c r="F1692" i="21"/>
  <c r="F666" i="14"/>
  <c r="H134" i="14"/>
  <c r="AY55" i="9"/>
  <c r="AE55" i="9"/>
  <c r="AW55" i="9"/>
  <c r="J666" i="14"/>
  <c r="BP55" i="9"/>
  <c r="AN55" i="9"/>
  <c r="BQ55" i="9"/>
  <c r="J248" i="14"/>
  <c r="H1882" i="22"/>
  <c r="P55" i="9"/>
  <c r="BH55" i="9"/>
  <c r="I55" i="9"/>
  <c r="BK55" i="9"/>
  <c r="G210" i="14"/>
  <c r="AO55" i="9"/>
  <c r="I628" i="14"/>
  <c r="AU55" i="9"/>
  <c r="AC55" i="9"/>
  <c r="AA55" i="9"/>
  <c r="CD55" i="9"/>
  <c r="H172" i="14"/>
  <c r="R55" i="9"/>
  <c r="G400" i="14"/>
  <c r="J96" i="14"/>
  <c r="G96" i="14"/>
  <c r="AS55" i="9"/>
  <c r="J1692" i="21"/>
  <c r="F400" i="14"/>
  <c r="I172" i="14"/>
  <c r="J324" i="14"/>
  <c r="J55" i="9"/>
  <c r="J704" i="14"/>
  <c r="H628" i="14"/>
  <c r="AL55" i="9"/>
  <c r="BF55" i="9"/>
  <c r="CJ55" i="9"/>
  <c r="AQ55" i="9"/>
  <c r="G286" i="14"/>
  <c r="BC55" i="9"/>
  <c r="CI55" i="9"/>
  <c r="CA55" i="9"/>
  <c r="BE55" i="9"/>
  <c r="BU55" i="9"/>
  <c r="CC55" i="9"/>
  <c r="BN55" i="9"/>
  <c r="BS55" i="9"/>
  <c r="I96" i="14"/>
  <c r="J628" i="14"/>
  <c r="I286" i="14"/>
  <c r="AT55" i="9"/>
  <c r="F1882" i="22"/>
  <c r="F210" i="14"/>
  <c r="L55" i="9"/>
  <c r="F172" i="15"/>
  <c r="CK55" i="9"/>
  <c r="X55" i="9"/>
  <c r="J134" i="15"/>
  <c r="I362" i="14"/>
  <c r="H704" i="14"/>
  <c r="CQ55" i="9"/>
  <c r="J362" i="14"/>
  <c r="I514" i="14"/>
  <c r="BV55" i="9"/>
  <c r="G55" i="9"/>
  <c r="G704" i="14"/>
  <c r="F514" i="14"/>
  <c r="BX55" i="9"/>
  <c r="G134" i="15"/>
  <c r="F628" i="14"/>
  <c r="BG55" i="9"/>
  <c r="G1882" i="22"/>
  <c r="H324" i="14"/>
  <c r="M55" i="9"/>
  <c r="I324" i="14"/>
  <c r="I248" i="14"/>
  <c r="CL55" i="9"/>
  <c r="F324" i="14"/>
  <c r="CH55" i="9"/>
  <c r="CR55" i="9"/>
  <c r="BM55" i="9"/>
  <c r="H666" i="14"/>
  <c r="BO55" i="9"/>
  <c r="CG55" i="9"/>
  <c r="F134" i="14"/>
  <c r="H134" i="15"/>
  <c r="W55" i="9"/>
  <c r="BA55" i="9"/>
  <c r="AZ55" i="9"/>
  <c r="AG55" i="9"/>
  <c r="BL55" i="9"/>
  <c r="G134" i="14"/>
  <c r="BW55" i="9"/>
  <c r="CM55" i="9"/>
  <c r="T55" i="9"/>
  <c r="V55" i="9"/>
  <c r="I704" i="14"/>
  <c r="J400" i="14"/>
  <c r="CN55" i="9"/>
  <c r="BB55" i="9"/>
  <c r="AH55" i="9"/>
  <c r="BI55" i="9"/>
  <c r="F248" i="14"/>
  <c r="Z55" i="9"/>
  <c r="CF55" i="9"/>
  <c r="F172" i="14"/>
  <c r="I134" i="14"/>
  <c r="N55" i="9"/>
  <c r="I1692" i="21"/>
  <c r="H210" i="14"/>
  <c r="S55" i="9"/>
  <c r="BZ55" i="9"/>
  <c r="H55" i="9"/>
  <c r="J514" i="14"/>
  <c r="J134" i="14"/>
  <c r="G172" i="15"/>
  <c r="AJ55" i="9"/>
  <c r="G666" i="14"/>
  <c r="H362" i="14"/>
  <c r="H514" i="14"/>
  <c r="H172" i="15"/>
  <c r="F704" i="14"/>
  <c r="J172" i="15"/>
  <c r="G324" i="14"/>
  <c r="E55" i="9"/>
  <c r="AF55" i="9"/>
  <c r="G628" i="14"/>
  <c r="AV55" i="9"/>
  <c r="J1882" i="22"/>
  <c r="CO55" i="9"/>
  <c r="H286" i="14"/>
  <c r="BJ55" i="9"/>
  <c r="AR55" i="9"/>
  <c r="AX55" i="9"/>
  <c r="H248" i="14"/>
  <c r="AD55" i="9"/>
  <c r="G248" i="14"/>
  <c r="CE55" i="9"/>
  <c r="I1882" i="22"/>
  <c r="AM55" i="9"/>
  <c r="G362" i="14"/>
  <c r="AK55" i="9"/>
  <c r="H96" i="14"/>
  <c r="BT55" i="9"/>
  <c r="U55" i="9"/>
  <c r="J172" i="14"/>
  <c r="CB55" i="9"/>
  <c r="H400" i="14"/>
  <c r="I172" i="15"/>
  <c r="AP55" i="9"/>
  <c r="BY55" i="9"/>
  <c r="H1692" i="21"/>
  <c r="F286" i="14"/>
  <c r="F362" i="14"/>
  <c r="G172" i="14"/>
  <c r="AI55" i="9"/>
  <c r="F55" i="9"/>
  <c r="J210" i="14"/>
  <c r="F134" i="15"/>
  <c r="J286" i="14"/>
  <c r="K55" i="9"/>
  <c r="I400" i="14"/>
  <c r="BD55" i="9"/>
  <c r="Y55" i="9"/>
  <c r="O55" i="9"/>
  <c r="BR55" i="9"/>
  <c r="AB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I1540" i="22"/>
  <c r="J1844" i="22"/>
  <c r="F1540" i="22"/>
  <c r="G1844" i="22"/>
  <c r="H970" i="21"/>
  <c r="G1578" i="22"/>
  <c r="F1122" i="22"/>
  <c r="F1578" i="22"/>
  <c r="I970" i="21"/>
  <c r="G970" i="22"/>
  <c r="H970" i="22"/>
  <c r="J1540" i="22"/>
  <c r="I1578" i="22"/>
  <c r="G970" i="21"/>
  <c r="I970" i="22"/>
  <c r="G1008" i="22"/>
  <c r="G1540" i="22"/>
  <c r="J1616" i="21"/>
  <c r="J1122" i="22"/>
  <c r="G1122" i="22"/>
  <c r="G1616" i="21"/>
  <c r="I1350" i="21"/>
  <c r="J1350" i="21"/>
  <c r="G1426" i="22"/>
  <c r="F1008" i="22"/>
  <c r="H1654" i="21"/>
  <c r="I1122" i="22"/>
  <c r="F970" i="21"/>
  <c r="H1578" i="22"/>
  <c r="G1654" i="21"/>
  <c r="I1426" i="22"/>
  <c r="H1844" i="22"/>
  <c r="H1350" i="21"/>
  <c r="F1616" i="21"/>
  <c r="J970" i="21"/>
  <c r="F1654" i="21"/>
  <c r="F1426" i="22"/>
  <c r="H1616" i="21"/>
  <c r="H1540" i="22"/>
  <c r="I1844" i="22"/>
  <c r="I1008" i="22"/>
  <c r="J1654" i="21"/>
  <c r="F1350" i="21"/>
  <c r="J1426" i="22"/>
  <c r="J970" i="22"/>
  <c r="H1008" i="22"/>
  <c r="H1426" i="22"/>
  <c r="I1616" i="21"/>
  <c r="F970" i="22"/>
  <c r="G1350" i="21"/>
  <c r="F1844" i="22"/>
  <c r="I1654" i="21"/>
  <c r="H1122" i="22"/>
  <c r="J1008" i="22"/>
  <c r="J1578"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134" i="18"/>
  <c r="H1464" i="21"/>
  <c r="J96" i="21"/>
  <c r="F590" i="14"/>
  <c r="F1692" i="22"/>
  <c r="J932" i="22"/>
  <c r="H210" i="22"/>
  <c r="J856" i="21"/>
  <c r="G552" i="22"/>
  <c r="I20" i="15"/>
  <c r="J1464" i="21"/>
  <c r="G894" i="21"/>
  <c r="G172" i="21"/>
  <c r="G134" i="18"/>
  <c r="F1274" i="21"/>
  <c r="F514" i="21"/>
  <c r="I780" i="22"/>
  <c r="G1160" i="21"/>
  <c r="H58" i="18"/>
  <c r="G1388" i="21"/>
  <c r="G1236" i="21"/>
  <c r="I96" i="5"/>
  <c r="F362" i="21"/>
  <c r="G172" i="18"/>
  <c r="I172" i="21"/>
  <c r="H324" i="21"/>
  <c r="J552" i="14"/>
  <c r="G58" i="21"/>
  <c r="H894" i="21"/>
  <c r="F552" i="21"/>
  <c r="I1806" i="22"/>
  <c r="F932" i="22"/>
  <c r="H742" i="21"/>
  <c r="H362" i="21"/>
  <c r="G552" i="21"/>
  <c r="F1084" i="22"/>
  <c r="H58" i="22"/>
  <c r="I324" i="21"/>
  <c r="J286" i="22"/>
  <c r="J96" i="13"/>
  <c r="H1806" i="22"/>
  <c r="I286" i="15"/>
  <c r="I134" i="5"/>
  <c r="F210" i="22"/>
  <c r="G438" i="14"/>
  <c r="H438" i="14"/>
  <c r="I894" i="22"/>
  <c r="G20" i="18"/>
  <c r="F1388" i="22"/>
  <c r="H286" i="15"/>
  <c r="I1160" i="21"/>
  <c r="H96" i="13"/>
  <c r="G96" i="15"/>
  <c r="G1160" i="22"/>
  <c r="J1768" i="22"/>
  <c r="I590" i="21"/>
  <c r="F666" i="22"/>
  <c r="J590" i="14"/>
  <c r="I742" i="22"/>
  <c r="J780" i="21"/>
  <c r="J20" i="18"/>
  <c r="J58" i="15"/>
  <c r="J1236" i="22"/>
  <c r="J1502" i="21"/>
  <c r="H20" i="14"/>
  <c r="G96" i="22"/>
  <c r="F20" i="21"/>
  <c r="J20" i="14"/>
  <c r="H1388" i="21"/>
  <c r="I286" i="21"/>
  <c r="G362" i="22"/>
  <c r="I96" i="15"/>
  <c r="J1692" i="22"/>
  <c r="F1198" i="21"/>
  <c r="J96" i="5"/>
  <c r="F818" i="22"/>
  <c r="H780" i="21"/>
  <c r="I894" i="21"/>
  <c r="I1198" i="22"/>
  <c r="J1312" i="22"/>
  <c r="G134" i="22"/>
  <c r="H514" i="22"/>
  <c r="G210" i="5"/>
  <c r="I324" i="15"/>
  <c r="I552" i="22"/>
  <c r="I58" i="15"/>
  <c r="I1464" i="22"/>
  <c r="F400" i="22"/>
  <c r="G1274" i="22"/>
  <c r="I438" i="22"/>
  <c r="I590" i="14"/>
  <c r="G590" i="14"/>
  <c r="I742" i="21"/>
  <c r="F628" i="22"/>
  <c r="I20" i="14"/>
  <c r="H1578" i="21"/>
  <c r="F1274" i="22"/>
  <c r="G628" i="22"/>
  <c r="I210" i="5"/>
  <c r="G1768" i="22"/>
  <c r="H248" i="21"/>
  <c r="G286" i="22"/>
  <c r="I20" i="22"/>
  <c r="J514" i="21"/>
  <c r="J628" i="21"/>
  <c r="F58" i="14"/>
  <c r="H1540" i="21"/>
  <c r="J20" i="13"/>
  <c r="F324" i="15"/>
  <c r="F172" i="5"/>
  <c r="F894" i="22"/>
  <c r="F1502" i="21"/>
  <c r="F476" i="21"/>
  <c r="F1008" i="21"/>
  <c r="J818" i="21"/>
  <c r="I1768" i="22"/>
  <c r="F96" i="15"/>
  <c r="J96" i="18"/>
  <c r="I438" i="14"/>
  <c r="F172" i="21"/>
  <c r="J172" i="21"/>
  <c r="H20" i="13"/>
  <c r="J1274" i="22"/>
  <c r="J248" i="22"/>
  <c r="F248" i="15"/>
  <c r="I1616" i="22"/>
  <c r="F134" i="21"/>
  <c r="G210" i="21"/>
  <c r="G134" i="5"/>
  <c r="H1502" i="21"/>
  <c r="F1806" i="22"/>
  <c r="F1540" i="21"/>
  <c r="H20" i="15"/>
  <c r="H1198" i="22"/>
  <c r="J20" i="21"/>
  <c r="J666" i="21"/>
  <c r="F1046" i="22"/>
  <c r="F172" i="22"/>
  <c r="H1426" i="21"/>
  <c r="I248" i="22"/>
  <c r="H96" i="22"/>
  <c r="H1654" i="22"/>
  <c r="F96" i="13"/>
  <c r="G1464" i="22"/>
  <c r="F514" i="22"/>
  <c r="I514" i="22"/>
  <c r="I1540" i="21"/>
  <c r="J1160" i="21"/>
  <c r="G476" i="21"/>
  <c r="F20" i="13"/>
  <c r="H1768" i="22"/>
  <c r="H172" i="18"/>
  <c r="J324" i="15"/>
  <c r="G400" i="22"/>
  <c r="G1426" i="21"/>
  <c r="H704" i="22"/>
  <c r="J438" i="21"/>
  <c r="J58" i="5"/>
  <c r="H248" i="22"/>
  <c r="H856" i="22"/>
  <c r="H552" i="14"/>
  <c r="I476" i="22"/>
  <c r="I20" i="18"/>
  <c r="G286" i="21"/>
  <c r="I58" i="14"/>
  <c r="J1236" i="21"/>
  <c r="I856" i="21"/>
  <c r="H438" i="21"/>
  <c r="G780" i="22"/>
  <c r="H476" i="14"/>
  <c r="F400" i="21"/>
  <c r="H894" i="22"/>
  <c r="J324" i="22"/>
  <c r="G248" i="15"/>
  <c r="I1236" i="22"/>
  <c r="F210" i="15"/>
  <c r="G438" i="22"/>
  <c r="F552" i="22"/>
  <c r="G476" i="14"/>
  <c r="I96" i="21"/>
  <c r="H476" i="22"/>
  <c r="I552" i="21"/>
  <c r="I1122" i="21"/>
  <c r="G1502" i="21"/>
  <c r="I20" i="21"/>
  <c r="F1312" i="22"/>
  <c r="I172" i="18"/>
  <c r="G514" i="22"/>
  <c r="H96" i="21"/>
  <c r="H1046" i="22"/>
  <c r="H1464" i="22"/>
  <c r="H590" i="21"/>
  <c r="I1084" i="22"/>
  <c r="G20" i="15"/>
  <c r="F210" i="5"/>
  <c r="G1312" i="22"/>
  <c r="I476" i="21"/>
  <c r="F742" i="22"/>
  <c r="F1426" i="21"/>
  <c r="J210" i="21"/>
  <c r="G1616" i="22"/>
  <c r="G1388" i="22"/>
  <c r="G20" i="13"/>
  <c r="G58" i="18"/>
  <c r="F58" i="13"/>
  <c r="J248" i="21"/>
  <c r="J58" i="14"/>
  <c r="H742" i="22"/>
  <c r="G1046" i="21"/>
  <c r="I818" i="22"/>
  <c r="I856" i="22"/>
  <c r="G1730" i="22"/>
  <c r="H96" i="5"/>
  <c r="G20" i="14"/>
  <c r="H58" i="5"/>
  <c r="F134" i="5"/>
  <c r="F742" i="21"/>
  <c r="G58" i="22"/>
  <c r="G856" i="21"/>
  <c r="F932" i="21"/>
  <c r="H932" i="22"/>
  <c r="J324" i="21"/>
  <c r="F1160" i="22"/>
  <c r="J742" i="21"/>
  <c r="J58" i="21"/>
  <c r="H1084" i="21"/>
  <c r="I1160" i="22"/>
  <c r="F248" i="21"/>
  <c r="G552" i="14"/>
  <c r="F704" i="22"/>
  <c r="G172" i="22"/>
  <c r="G96" i="13"/>
  <c r="F286" i="21"/>
  <c r="J248" i="15"/>
  <c r="H1160" i="22"/>
  <c r="J552" i="22"/>
  <c r="F438" i="14"/>
  <c r="I1274" i="21"/>
  <c r="J1122" i="21"/>
  <c r="F1388" i="21"/>
  <c r="I476" i="14"/>
  <c r="J1616" i="22"/>
  <c r="I58" i="22"/>
  <c r="I1312" i="22"/>
  <c r="F818" i="21"/>
  <c r="H1274" i="21"/>
  <c r="G1806" i="22"/>
  <c r="J514" i="22"/>
  <c r="I172" i="5"/>
  <c r="J1046" i="21"/>
  <c r="H856" i="21"/>
  <c r="H1388" i="22"/>
  <c r="H362" i="22"/>
  <c r="J172" i="5"/>
  <c r="J172" i="22"/>
  <c r="I1464" i="21"/>
  <c r="I704" i="22"/>
  <c r="G96" i="21"/>
  <c r="I134" i="18"/>
  <c r="J20" i="22"/>
  <c r="J58" i="18"/>
  <c r="H58" i="13"/>
  <c r="F780" i="21"/>
  <c r="J134" i="21"/>
  <c r="F1350" i="22"/>
  <c r="J1198" i="21"/>
  <c r="F172" i="18"/>
  <c r="H1236" i="22"/>
  <c r="H552" i="21"/>
  <c r="H324" i="22"/>
  <c r="H210" i="21"/>
  <c r="J856" i="22"/>
  <c r="H1692" i="22"/>
  <c r="F20" i="15"/>
  <c r="H20" i="22"/>
  <c r="J476" i="22"/>
  <c r="H400" i="21"/>
  <c r="G1122" i="21"/>
  <c r="J704" i="22"/>
  <c r="J210" i="15"/>
  <c r="G1350" i="22"/>
  <c r="G628" i="21"/>
  <c r="I248" i="15"/>
  <c r="F1464" i="22"/>
  <c r="H818" i="22"/>
  <c r="G324" i="15"/>
  <c r="H780" i="22"/>
  <c r="H20" i="21"/>
  <c r="I58" i="21"/>
  <c r="I1578" i="21"/>
  <c r="I1046" i="21"/>
  <c r="J1540" i="21"/>
  <c r="G210" i="22"/>
  <c r="I932" i="21"/>
  <c r="H628" i="21"/>
  <c r="J476" i="14"/>
  <c r="F628" i="21"/>
  <c r="J96" i="15"/>
  <c r="G742" i="22"/>
  <c r="H1160" i="21"/>
  <c r="J1426" i="21"/>
  <c r="H1198" i="21"/>
  <c r="J932" i="21"/>
  <c r="H172" i="5"/>
  <c r="I666" i="22"/>
  <c r="F1654" i="22"/>
  <c r="F20" i="14"/>
  <c r="G856" i="22"/>
  <c r="I400" i="21"/>
  <c r="G666" i="21"/>
  <c r="I400" i="22"/>
  <c r="F1768" i="22"/>
  <c r="J666" i="22"/>
  <c r="G1692" i="22"/>
  <c r="F438" i="22"/>
  <c r="F20" i="5"/>
  <c r="J286" i="15"/>
  <c r="I96" i="22"/>
  <c r="J210" i="22"/>
  <c r="I210" i="21"/>
  <c r="J1350" i="22"/>
  <c r="G400" i="21"/>
  <c r="H324" i="15"/>
  <c r="G210" i="15"/>
  <c r="G818" i="22"/>
  <c r="G134" i="21"/>
  <c r="I20" i="13"/>
  <c r="H590" i="14"/>
  <c r="H134" i="22"/>
  <c r="G1654" i="22"/>
  <c r="J400" i="22"/>
  <c r="G324" i="21"/>
  <c r="G248" i="22"/>
  <c r="G20" i="5"/>
  <c r="J1046" i="22"/>
  <c r="J1464" i="22"/>
  <c r="I58" i="18"/>
  <c r="F248" i="22"/>
  <c r="G1502" i="22"/>
  <c r="I324" i="22"/>
  <c r="G1274" i="21"/>
  <c r="I514" i="21"/>
  <c r="J210" i="5"/>
  <c r="F704" i="21"/>
  <c r="G58" i="5"/>
  <c r="J1806" i="22"/>
  <c r="J818" i="22"/>
  <c r="H172" i="21"/>
  <c r="F286" i="15"/>
  <c r="F1312" i="21"/>
  <c r="F1616" i="22"/>
  <c r="J780" i="22"/>
  <c r="I628" i="22"/>
  <c r="F58" i="21"/>
  <c r="J1274" i="21"/>
  <c r="F286" i="22"/>
  <c r="G20" i="22"/>
  <c r="F58" i="18"/>
  <c r="I58" i="13"/>
  <c r="H1312" i="22"/>
  <c r="F438" i="21"/>
  <c r="G1540" i="21"/>
  <c r="J628" i="22"/>
  <c r="G1084" i="21"/>
  <c r="H1046" i="21"/>
  <c r="G1198" i="22"/>
  <c r="H818" i="21"/>
  <c r="F1198" i="22"/>
  <c r="H552" i="22"/>
  <c r="J438" i="22"/>
  <c r="H1502" i="22"/>
  <c r="I704" i="21"/>
  <c r="G1236" i="22"/>
  <c r="H1008" i="21"/>
  <c r="F58" i="15"/>
  <c r="F58" i="22"/>
  <c r="F96" i="21"/>
  <c r="I932" i="22"/>
  <c r="G1008" i="21"/>
  <c r="I286" i="22"/>
  <c r="G476" i="22"/>
  <c r="H1236" i="21"/>
  <c r="F210" i="21"/>
  <c r="F362" i="22"/>
  <c r="F324" i="22"/>
  <c r="G20" i="21"/>
  <c r="H476" i="21"/>
  <c r="F1236" i="22"/>
  <c r="G818" i="21"/>
  <c r="J1084" i="21"/>
  <c r="I58" i="5"/>
  <c r="I210" i="15"/>
  <c r="G248" i="21"/>
  <c r="H20" i="18"/>
  <c r="I590" i="22"/>
  <c r="G1578" i="21"/>
  <c r="F476" i="14"/>
  <c r="H1616" i="22"/>
  <c r="F666" i="21"/>
  <c r="H400" i="22"/>
  <c r="H20" i="5"/>
  <c r="I666" i="21"/>
  <c r="F1578" i="21"/>
  <c r="H514" i="21"/>
  <c r="H1350" i="22"/>
  <c r="H1274" i="22"/>
  <c r="J590" i="22"/>
  <c r="H666" i="22"/>
  <c r="J1084" i="22"/>
  <c r="H1730" i="22"/>
  <c r="G704" i="22"/>
  <c r="H628" i="22"/>
  <c r="J438" i="14"/>
  <c r="I20" i="5"/>
  <c r="J1312" i="21"/>
  <c r="I818" i="21"/>
  <c r="H666" i="21"/>
  <c r="H286" i="21"/>
  <c r="F96" i="18"/>
  <c r="I210" i="22"/>
  <c r="G590" i="22"/>
  <c r="G58" i="15"/>
  <c r="I172" i="22"/>
  <c r="J400" i="21"/>
  <c r="J1008" i="21"/>
  <c r="I1236" i="21"/>
  <c r="F1122" i="21"/>
  <c r="H96" i="18"/>
  <c r="H286" i="22"/>
  <c r="G704" i="21"/>
  <c r="J1160" i="22"/>
  <c r="F96" i="5"/>
  <c r="J286" i="21"/>
  <c r="H58" i="14"/>
  <c r="G780" i="21"/>
  <c r="F20" i="18"/>
  <c r="G58" i="14"/>
  <c r="J1388" i="21"/>
  <c r="F856" i="21"/>
  <c r="J894" i="21"/>
  <c r="I134" i="22"/>
  <c r="G1046" i="22"/>
  <c r="H96" i="15"/>
  <c r="J134" i="5"/>
  <c r="J1198" i="22"/>
  <c r="G172" i="5"/>
  <c r="G58" i="13"/>
  <c r="I1388" i="22"/>
  <c r="G1312" i="21"/>
  <c r="I628" i="21"/>
  <c r="I1426" i="21"/>
  <c r="J362" i="21"/>
  <c r="I1654" i="22"/>
  <c r="G742" i="21"/>
  <c r="G666" i="22"/>
  <c r="H58" i="15"/>
  <c r="J1502" i="22"/>
  <c r="J742" i="22"/>
  <c r="H590" i="22"/>
  <c r="F590" i="21"/>
  <c r="I96" i="18"/>
  <c r="J704" i="21"/>
  <c r="I1198" i="21"/>
  <c r="J1654" i="22"/>
  <c r="J134" i="18"/>
  <c r="F476" i="22"/>
  <c r="G362" i="21"/>
  <c r="I1084" i="21"/>
  <c r="H1122" i="21"/>
  <c r="G1198" i="21"/>
  <c r="H932" i="21"/>
  <c r="F780" i="22"/>
  <c r="J1388" i="22"/>
  <c r="F552" i="14"/>
  <c r="G1084" i="22"/>
  <c r="I134" i="21"/>
  <c r="F1464" i="21"/>
  <c r="J96" i="22"/>
  <c r="I1730" i="22"/>
  <c r="F134" i="22"/>
  <c r="H134" i="5"/>
  <c r="I1692" i="22"/>
  <c r="I1046" i="22"/>
  <c r="F1236" i="21"/>
  <c r="I362" i="22"/>
  <c r="F590" i="22"/>
  <c r="G96" i="5"/>
  <c r="G894" i="22"/>
  <c r="H1084" i="22"/>
  <c r="I96" i="13"/>
  <c r="I1388" i="21"/>
  <c r="H172" i="22"/>
  <c r="J552" i="21"/>
  <c r="J894" i="22"/>
  <c r="G1464" i="21"/>
  <c r="F58" i="5"/>
  <c r="J20" i="15"/>
  <c r="H210" i="15"/>
  <c r="H1312" i="21"/>
  <c r="J172" i="18"/>
  <c r="I438" i="21"/>
  <c r="J1730" i="22"/>
  <c r="I1350" i="22"/>
  <c r="F1160" i="21"/>
  <c r="J1578" i="21"/>
  <c r="J476" i="21"/>
  <c r="G514" i="21"/>
  <c r="J20" i="5"/>
  <c r="F20" i="22"/>
  <c r="G96" i="18"/>
  <c r="I1274" i="22"/>
  <c r="G286" i="15"/>
  <c r="F96" i="22"/>
  <c r="G932" i="21"/>
  <c r="J134" i="22"/>
  <c r="G324" i="22"/>
  <c r="I362" i="21"/>
  <c r="I1502" i="22"/>
  <c r="F856" i="22"/>
  <c r="I1312" i="21"/>
  <c r="J58" i="13"/>
  <c r="I780" i="21"/>
  <c r="H210" i="5"/>
  <c r="J362" i="22"/>
  <c r="H704" i="21"/>
  <c r="F134" i="18"/>
  <c r="I1008" i="21"/>
  <c r="G590" i="21"/>
  <c r="H134" i="21"/>
  <c r="F324" i="21"/>
  <c r="I248" i="21"/>
  <c r="J590" i="21"/>
  <c r="J58" i="22"/>
  <c r="F894" i="21"/>
  <c r="F1730" i="22"/>
  <c r="H58" i="21"/>
  <c r="H248" i="15"/>
  <c r="F1502" i="22"/>
  <c r="I552" i="14"/>
  <c r="I1502" i="21"/>
  <c r="G438" i="21"/>
  <c r="F1084" i="21"/>
  <c r="F1046" i="21"/>
  <c r="H438" i="22"/>
  <c r="G932" i="22"/>
  <c r="G12" i="18" l="1"/>
  <c r="G14" i="21"/>
  <c r="K13" i="5"/>
  <c r="G12" i="22"/>
  <c r="G12" i="5"/>
  <c r="K12" i="14"/>
  <c r="G12" i="13"/>
  <c r="K13" i="15"/>
  <c r="G12" i="21"/>
  <c r="G14" i="13"/>
  <c r="G13" i="18"/>
  <c r="G14" i="22"/>
  <c r="K12" i="5"/>
  <c r="K12" i="13"/>
  <c r="K13" i="21"/>
  <c r="K12" i="15"/>
  <c r="K15" i="15" s="1"/>
  <c r="K13" i="18"/>
  <c r="K13" i="22"/>
  <c r="G13" i="22"/>
  <c r="G13" i="15"/>
  <c r="G14" i="15"/>
  <c r="K13" i="14"/>
  <c r="G14" i="5"/>
  <c r="G12" i="14"/>
  <c r="G12" i="15"/>
  <c r="G13" i="21"/>
  <c r="G13" i="14"/>
  <c r="G14" i="14"/>
  <c r="G14" i="18"/>
  <c r="K13" i="13"/>
  <c r="K12" i="21"/>
  <c r="K12" i="18"/>
  <c r="G13" i="5"/>
  <c r="G13" i="13"/>
  <c r="K12" i="22"/>
  <c r="K15" i="21" l="1"/>
  <c r="K15" i="5"/>
  <c r="G15" i="14"/>
  <c r="G15" i="13"/>
  <c r="K15" i="18"/>
  <c r="K15" i="22"/>
  <c r="G15" i="5"/>
  <c r="K15" i="13"/>
  <c r="G15" i="22"/>
  <c r="K15" i="14"/>
  <c r="G15" i="15"/>
  <c r="G15" i="21"/>
  <c r="G15" i="18"/>
  <c r="L13" i="14" l="1"/>
  <c r="L13" i="13"/>
  <c r="L12" i="13"/>
  <c r="H12" i="13"/>
  <c r="H13" i="13"/>
  <c r="H14" i="13"/>
  <c r="H12" i="14"/>
  <c r="L12" i="14"/>
  <c r="L14" i="18"/>
  <c r="H12" i="18"/>
  <c r="L12" i="18"/>
  <c r="H13" i="18"/>
  <c r="H14" i="18"/>
  <c r="L13" i="18"/>
  <c r="H14" i="22"/>
  <c r="H13" i="22"/>
  <c r="H12" i="22"/>
  <c r="L13" i="22"/>
  <c r="L12" i="22"/>
  <c r="L14" i="22"/>
  <c r="H14" i="5"/>
  <c r="L12" i="5"/>
  <c r="H12" i="5"/>
  <c r="L14" i="5"/>
  <c r="H13" i="5"/>
  <c r="L13" i="5"/>
  <c r="H14" i="14"/>
  <c r="H13" i="14"/>
  <c r="H14" i="21"/>
  <c r="H12" i="21"/>
  <c r="L14" i="21"/>
  <c r="H13" i="21"/>
  <c r="L13" i="21"/>
  <c r="L12" i="21"/>
  <c r="L14" i="13"/>
  <c r="L14" i="14"/>
  <c r="H12" i="15"/>
  <c r="H14" i="15"/>
  <c r="L14" i="15"/>
  <c r="H13" i="15"/>
  <c r="L13" i="15"/>
  <c r="L12" i="15"/>
  <c r="H15" i="22" l="1"/>
  <c r="L15" i="14"/>
  <c r="L15" i="15"/>
  <c r="L15" i="13"/>
  <c r="L15" i="21"/>
  <c r="H15" i="14"/>
  <c r="H15" i="18"/>
  <c r="H15" i="5"/>
  <c r="H15" i="15"/>
  <c r="H15" i="21"/>
  <c r="H15" i="13"/>
  <c r="L15" i="5"/>
  <c r="L15" i="22"/>
  <c r="L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2A35FDDD-B4C5-4CAA-92C8-BF8441721D2C}">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<sst xmlns="http://schemas.openxmlformats.org/spreadsheetml/2006/main" count="4103" uniqueCount="551">
  <si>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</si>
  <si>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</si>
  <si>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</si>
  <si>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</si>
  <si>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</si>
  <si>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</si>
  <si>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</si>
  <si>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</si>
  <si>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</si>
  <si>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</si>
  <si>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</si>
  <si>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</si>
  <si>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</si>
  <si>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</si>
  <si>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</si>
  <si>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</si>
  <si>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</si>
  <si>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</si>
  <si>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</si>
  <si>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</si>
  <si>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</si>
  <si>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</si>
  <si>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Sitios web</t>
  </si>
  <si>
    <t>Nombre Sitio Web*</t>
  </si>
  <si>
    <t>28 de Mayo, Elecciones Asamblea Madrid</t>
  </si>
  <si>
    <t>URL del Sitio Web*</t>
  </si>
  <si>
    <t>https://elecciones.comunidad.madrid/</t>
  </si>
  <si>
    <t>Alcance de la revisión*</t>
  </si>
  <si>
    <t>Revisión del dominio solicitado</t>
  </si>
  <si>
    <t>Funcionalidad esencial del sitio web*</t>
  </si>
  <si>
    <t>Inofrmación sobre las elecciones del 28 de mayo</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</si>
  <si>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</si>
  <si>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</si>
  <si>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</si>
  <si>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</si>
  <si>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Sistema Operativo: Windows 11 Enterprise
Navegador: Google Chrome Versión 135.0.7049.42 (Build oficial) (64 bits)
Herramientas utilizadas: Tawdis, LightHouse, Color Contrast Analyzer, HeadingsMap, Screen reader, Siteimprove, taba11y,  UserCSS y  Axe DevTools</t>
  </si>
  <si>
    <t>Ámbito territorial*</t>
  </si>
  <si>
    <t>CCAA</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</si>
  <si>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</si>
  <si>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</si>
  <si>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</si>
  <si>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</si>
  <si>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</si>
  <si>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</si>
  <si>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</si>
  <si>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</si>
  <si>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</si>
  <si>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</si>
  <si>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</si>
  <si>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</si>
  <si>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</si>
  <si>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</si>
  <si>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</si>
  <si>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</si>
  <si>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</si>
  <si>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Madrid Digital</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</si>
  <si>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</si>
  <si>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</si>
  <si>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</si>
  <si>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</si>
  <si>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</si>
  <si>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</si>
  <si>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</si>
  <si>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</si>
  <si>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</si>
  <si>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</si>
  <si>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</si>
  <si>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</si>
  <si>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</si>
  <si>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</si>
  <si>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</si>
  <si>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</si>
  <si>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</si>
  <si>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</si>
  <si>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</si>
  <si>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</si>
  <si>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</si>
  <si>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PHP/Drupal</t>
  </si>
  <si>
    <t xml:space="preserve">https://www.drupal.org/project/drupal/releases/8.0.0 </t>
  </si>
  <si>
    <t>* Es obligatorio rellenar esta pestaña</t>
  </si>
  <si>
    <t xml:space="preserve"> Selección de la muestra</t>
  </si>
  <si>
    <t xml:space="preserve">ID </t>
  </si>
  <si>
    <t>Nombre corto*</t>
  </si>
  <si>
    <t>Clase*</t>
  </si>
  <si>
    <t>Tipo*</t>
  </si>
  <si>
    <t>URL página*</t>
  </si>
  <si>
    <t>Direccionamiento alternativo (migas)*</t>
  </si>
  <si>
    <t>Tipos de elementos</t>
  </si>
  <si>
    <t>Inicio</t>
  </si>
  <si>
    <t>Página Web</t>
  </si>
  <si>
    <t>Página inicio</t>
  </si>
  <si>
    <t>https://elecciones.comunidad.madrid/es</t>
  </si>
  <si>
    <t>Home</t>
  </si>
  <si>
    <t>Ej. Imágenes, tablas, listas, multimedia, formularios, plantilla X, plantilla Y</t>
  </si>
  <si>
    <t>Resultado Elecciones 28M 2023</t>
  </si>
  <si>
    <t>https://elecciones.comunidad.madrid/es/resultados-elecciones-asamblea-madrid-28m-2023</t>
  </si>
  <si>
    <t>Home &gt; Resultados &gt; Elecciones Asamblea de Madrid 28M 2023</t>
  </si>
  <si>
    <t>Formulario</t>
  </si>
  <si>
    <t>Normativa electoral</t>
  </si>
  <si>
    <t>https://elecciones.comunidad.madrid/es/informacion-electoral/normativa-electoral</t>
  </si>
  <si>
    <t>Home &gt; Información electoral &gt; Normativa electoral</t>
  </si>
  <si>
    <t>Calendario electoral</t>
  </si>
  <si>
    <t>https://elecciones.comunidad.madrid/es/informacion-electoral/calendario-electoral</t>
  </si>
  <si>
    <t>Home &gt; Información electoral &gt; Calendario electoral</t>
  </si>
  <si>
    <t>Direcciones y teléfonos</t>
  </si>
  <si>
    <t>https://elecciones.comunidad.madrid/es/juntas-electorales/direcciones-telefonos</t>
  </si>
  <si>
    <t>Home &gt; Información electoral &gt; Juntas electorales &gt; Direcciones y teléfonos</t>
  </si>
  <si>
    <t>Impresos electrónicos</t>
  </si>
  <si>
    <t>https://elecciones.comunidad.madrid/es/formaciones-politicas/impresos-electronicos</t>
  </si>
  <si>
    <t>Home &gt; Información electoral &gt; Formaciones políticas &gt; Impresos electrónicos</t>
  </si>
  <si>
    <t>Listado de candidaturas</t>
  </si>
  <si>
    <t>https://elecciones.comunidad.madrid/es/formaciones-politicas/listado-candidaturas-proclamadas</t>
  </si>
  <si>
    <t>Home &gt; Información electoral &gt; Formaciones políticas &gt; Listado de candidaturas</t>
  </si>
  <si>
    <t>Partido Feminista de España</t>
  </si>
  <si>
    <t>Aleatoria</t>
  </si>
  <si>
    <t>https://elecciones.comunidad.madrid/es/formaciones-politicas/listado-candidaturas/partido-feminista-espana</t>
  </si>
  <si>
    <t>Home &gt; Información electoral &gt; Formaciones políticas &gt; Listado de candidaturas &gt; Partido Feminista de España</t>
  </si>
  <si>
    <t>¿Dónde voto?</t>
  </si>
  <si>
    <t>https://elecciones.comunidad.madrid/es/votar/donde-voto</t>
  </si>
  <si>
    <t>Home &gt; Votar &gt; ¿Dónde voto?</t>
  </si>
  <si>
    <t>Voto presencial</t>
  </si>
  <si>
    <t>https://elecciones.comunidad.madrid/es/voto-local-electoral/voto-presencial</t>
  </si>
  <si>
    <t>Home &gt; Votar &gt; Voto en Local Electoral  &gt; Voto presencial</t>
  </si>
  <si>
    <t>Ciudadanos temporalmente en el extranjero</t>
  </si>
  <si>
    <t>Pagina tipo</t>
  </si>
  <si>
    <t>https://elecciones.comunidad.madrid/es/voto-correo/solicitud-voto-temporalmente-ausentes</t>
  </si>
  <si>
    <t>Home &gt; Votar &gt; Voto por correo &gt; Ciudadanos temporalmente en el extranjero</t>
  </si>
  <si>
    <t>Nuevo votante</t>
  </si>
  <si>
    <t>https://elecciones.comunidad.madrid/es/votar/nuevo-votante</t>
  </si>
  <si>
    <t>Home &gt; Votar  Nuevo votante</t>
  </si>
  <si>
    <t>Simulación método D'Hondt</t>
  </si>
  <si>
    <t>https://elecciones.comunidad.madrid/es/informacion-util/simulacion-metodo-dhondt</t>
  </si>
  <si>
    <t>Home &gt; Información útil  &gt; Simulación método D'Hondt</t>
  </si>
  <si>
    <t>Ley D'Hondt</t>
  </si>
  <si>
    <t>Servicio / Proceso</t>
  </si>
  <si>
    <t>https://elecciones.comunidad.madrid/es/resultados/ley_d_hondt</t>
  </si>
  <si>
    <t>Home &gt; Información útil  &gt; Simulación método D'Hondt &gt; Simulador  D'Hondt</t>
  </si>
  <si>
    <t>Voto por correo elector CERA en España</t>
  </si>
  <si>
    <t>https://elecciones.comunidad.madrid/es/preguntas-frecuentes/voto-correo-electores-residentes-extranjero</t>
  </si>
  <si>
    <t>Home &gt; Información útil  &gt; Preguntas más frecuentes &gt; Voto por correo elector CERA en España</t>
  </si>
  <si>
    <t>Contacto</t>
  </si>
  <si>
    <t>https://elecciones.comunidad.madrid/es/buzon-de-sugerencias</t>
  </si>
  <si>
    <t>Home &gt; Icono lupa  (Contacto) &gt; Contacto</t>
  </si>
  <si>
    <t>Buscador</t>
  </si>
  <si>
    <t>Búsqueda</t>
  </si>
  <si>
    <t>https://elecciones.comunidad.madrid/es/search?search_api_fulltext=partido</t>
  </si>
  <si>
    <t>Home &gt; Icono lupa &gt; Icono lupa (buscar = partido)</t>
  </si>
  <si>
    <t>Texto</t>
  </si>
  <si>
    <t>Aviso Legal-Privacidad</t>
  </si>
  <si>
    <t>Legal</t>
  </si>
  <si>
    <t>https://elecciones.comunidad.madrid/es/aviso-legal</t>
  </si>
  <si>
    <t>Home &gt; Aviso Legal - Privacidad</t>
  </si>
  <si>
    <t>Mapa Web</t>
  </si>
  <si>
    <t>Mapa web</t>
  </si>
  <si>
    <t>https://elecciones.comunidad.madrid/es/sitemap</t>
  </si>
  <si>
    <t>Home &gt; Mapa Web</t>
  </si>
  <si>
    <t>Enlaces</t>
  </si>
  <si>
    <t>Declaracion Accesibilidad</t>
  </si>
  <si>
    <t>Declaración accesibilidad</t>
  </si>
  <si>
    <t>https://elecciones.comunidad.madrid/es/accesibilidad</t>
  </si>
  <si>
    <t>Home &gt; Accesibilidad</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</si>
  <si>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</si>
  <si>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</si>
  <si>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</si>
  <si>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</si>
  <si>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</si>
  <si>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</si>
  <si>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</si>
  <si>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</si>
  <si>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</si>
  <si>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</si>
  <si>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</si>
  <si>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</si>
  <si>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</si>
  <si>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</si>
  <si>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</si>
  <si>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</si>
  <si>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</si>
  <si>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</si>
  <si>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</si>
  <si>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</si>
  <si>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</si>
  <si>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</si>
  <si>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</si>
  <si>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N/A</t>
  </si>
  <si>
    <t>N/T</t>
  </si>
  <si>
    <t>N/D</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</si>
  <si>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</si>
  <si>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</si>
  <si>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</si>
  <si>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</si>
  <si>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</si>
  <si>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</si>
  <si>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</si>
  <si>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</si>
  <si>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</si>
  <si>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</si>
  <si>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</si>
  <si>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</si>
  <si>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</si>
  <si>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</si>
  <si>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</si>
  <si>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</si>
  <si>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</si>
  <si>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</si>
  <si>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</si>
  <si>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</si>
  <si>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</si>
  <si>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</si>
  <si>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</si>
  <si>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</si>
  <si>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</si>
  <si>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</si>
  <si>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</si>
  <si>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</si>
  <si>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</si>
  <si>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</si>
  <si>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</si>
  <si>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</si>
  <si>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</si>
  <si>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</si>
  <si>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</si>
  <si>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</si>
  <si>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</si>
  <si>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</si>
  <si>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</si>
  <si>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</si>
  <si>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</si>
  <si>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</si>
  <si>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</si>
  <si>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</si>
  <si>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</si>
  <si>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</si>
  <si>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</si>
  <si>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</si>
  <si>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</si>
  <si>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</si>
  <si>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</si>
  <si>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</si>
  <si>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</si>
  <si>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</si>
  <si>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</si>
  <si>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</si>
  <si>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</si>
  <si>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</si>
  <si>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</si>
  <si>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</si>
  <si>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</si>
  <si>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</si>
  <si>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</si>
  <si>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</si>
  <si>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</si>
  <si>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</si>
  <si>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</si>
  <si>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</si>
  <si>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</si>
  <si>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</si>
  <si>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</si>
  <si>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</si>
  <si>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</si>
  <si>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</si>
  <si>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</si>
  <si>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</si>
  <si>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</si>
  <si>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</si>
  <si>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</si>
  <si>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</si>
  <si>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</si>
  <si>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</si>
  <si>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</si>
  <si>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</si>
  <si>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</si>
  <si>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</si>
  <si>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</si>
  <si>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</si>
  <si>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</si>
  <si>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</si>
  <si>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</si>
  <si>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</si>
  <si>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</si>
  <si>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</si>
  <si>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</si>
  <si>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</si>
  <si>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</si>
  <si>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</si>
  <si>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</si>
  <si>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</si>
  <si>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</si>
  <si>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</si>
  <si>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</si>
  <si>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</si>
  <si>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</si>
  <si>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</si>
  <si>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</si>
  <si>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</si>
  <si>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</si>
  <si>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</si>
  <si>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</si>
  <si>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</si>
  <si>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</si>
  <si>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</si>
  <si>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</si>
  <si>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</si>
  <si>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</si>
  <si>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</si>
  <si>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</si>
  <si>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</si>
  <si>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</si>
  <si>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</si>
  <si>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</si>
  <si>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</si>
  <si>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</si>
  <si>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</si>
  <si>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</si>
  <si>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</si>
  <si>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</si>
  <si>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</si>
  <si>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</si>
  <si>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</si>
  <si>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</si>
  <si>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</si>
  <si>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</si>
  <si>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</si>
  <si>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</si>
  <si>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</si>
  <si>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</si>
  <si>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</si>
  <si>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</si>
  <si>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</si>
  <si>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</si>
  <si>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</si>
  <si>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</si>
  <si>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</si>
  <si>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</si>
  <si>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</si>
  <si>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</si>
  <si>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</si>
  <si>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</si>
  <si>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</si>
  <si>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</si>
  <si>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</si>
  <si>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</si>
  <si>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</si>
  <si>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</si>
  <si>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</si>
  <si>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</si>
  <si>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</si>
  <si>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</si>
  <si>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</si>
  <si>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</si>
  <si>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</si>
  <si>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</si>
  <si>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</si>
  <si>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</si>
  <si>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</si>
  <si>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</si>
  <si>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</si>
  <si>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</si>
  <si>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</si>
  <si>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</si>
  <si>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</si>
  <si>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</si>
  <si>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</si>
  <si>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</si>
  <si>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</si>
  <si>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</si>
  <si>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</si>
  <si>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</si>
  <si>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</si>
  <si>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</si>
  <si>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</si>
  <si>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</si>
  <si>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</si>
  <si>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</si>
  <si>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</si>
  <si>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</si>
  <si>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</si>
  <si>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</si>
  <si>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</si>
  <si>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</si>
  <si>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</si>
  <si>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</si>
  <si>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</si>
  <si>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</si>
  <si>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</si>
  <si>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</si>
  <si>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</si>
  <si>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</si>
  <si>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</si>
  <si>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</si>
  <si>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</si>
  <si>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</si>
  <si>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</si>
  <si>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</si>
  <si>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</si>
  <si>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</si>
  <si>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</si>
  <si>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</si>
  <si>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</si>
  <si>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</si>
  <si>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</si>
  <si>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</si>
  <si>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</si>
  <si>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</si>
  <si>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</si>
  <si>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</si>
  <si>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</si>
  <si>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</si>
  <si>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</si>
  <si>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</si>
  <si>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</si>
  <si>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</si>
  <si>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</si>
  <si>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</si>
  <si>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</si>
  <si>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</si>
  <si>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</si>
  <si>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</si>
  <si>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</si>
  <si>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</si>
  <si>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</si>
  <si>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</si>
  <si>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</si>
  <si>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</si>
  <si>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</si>
  <si>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</si>
  <si>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</si>
  <si>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</si>
  <si>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</si>
  <si>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</si>
  <si>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</si>
  <si>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</si>
  <si>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</si>
  <si>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</si>
  <si>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</si>
  <si>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</si>
  <si>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</si>
  <si>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</si>
  <si>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</si>
  <si>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</si>
  <si>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</si>
  <si>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</si>
  <si>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</si>
  <si>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</si>
  <si>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</si>
  <si>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</si>
  <si>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</si>
  <si>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</si>
  <si>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</si>
  <si>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</si>
  <si>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</si>
  <si>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</si>
  <si>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</si>
  <si>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</si>
  <si>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</si>
  <si>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</si>
  <si>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</si>
  <si>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</si>
  <si>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</si>
  <si>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</si>
  <si>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</si>
  <si>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</si>
  <si>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</si>
  <si>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</si>
  <si>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</si>
  <si>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</si>
  <si>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</si>
  <si>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</si>
  <si>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</si>
  <si>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</si>
  <si>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</si>
  <si>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</si>
  <si>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</si>
  <si>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</si>
  <si>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</si>
  <si>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</si>
  <si>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</si>
  <si>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</si>
  <si>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</si>
  <si>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</si>
  <si>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</si>
  <si>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</si>
  <si>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</si>
  <si>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</si>
  <si>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</si>
  <si>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</si>
  <si>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</si>
  <si>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</si>
  <si>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</si>
  <si>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</si>
  <si>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</si>
  <si>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</si>
  <si>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</si>
  <si>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</si>
  <si>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</si>
  <si>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</si>
  <si>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</si>
  <si>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</si>
  <si>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</si>
  <si>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</si>
  <si>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</si>
  <si>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</si>
  <si>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</si>
  <si>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</si>
  <si>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</si>
  <si>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</si>
  <si>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</si>
  <si>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Sedes electrónicas y servicios electrónicos</t>
  </si>
  <si>
    <t>AA WCAG 2.1</t>
  </si>
  <si>
    <t>Inicio de sesión</t>
  </si>
  <si>
    <t>EELL</t>
  </si>
  <si>
    <t>Inspección acreditada por ENAC</t>
  </si>
  <si>
    <t>Intranets y Extranets</t>
  </si>
  <si>
    <t>Otros</t>
  </si>
  <si>
    <t>Ayuda</t>
  </si>
  <si>
    <t>Mecanismo de comunicación</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</si>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</sst>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26">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248250</xdr:colOff>
      <xdr:row>10</xdr:row>
      <xdr:rowOff>194040</xdr:rowOff>
    </xdr:from>
    <xdr:to>
      <xdr:col>9</xdr:col>
      <xdr:colOff>644040</xdr:colOff>
      <xdr:row>12</xdr:row>
      <xdr:rowOff>900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11</xdr:col>
      <xdr:colOff>1611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11</xdr:col>
      <xdr:colOff>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11</xdr:col>
      <xdr:colOff>1059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228" sqref="D210:D228"/>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165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2" t="s">
        <v>321</v>
      </c>
      <c r="C8" s="232"/>
      <c r="D8" s="232"/>
      <c r="E8" s="232"/>
      <c r="F8" s="232"/>
      <c r="G8" s="232"/>
      <c r="H8" s="232"/>
      <c r="I8" s="232"/>
      <c r="J8" s="232"/>
      <c r="K8" s="232"/>
      <c r="L8" s="232"/>
      <c r="M8" s="232"/>
      <c r="N8" s="18"/>
      <c r="O8" s="18"/>
    </row>
    <row r="9" spans="1:64" ht="30" customHeight="1">
      <c r="B9" s="231" t="s">
        <v>167</v>
      </c>
      <c r="C9" s="231"/>
      <c r="D9" s="231"/>
      <c r="E9" s="231"/>
      <c r="F9" s="231"/>
      <c r="G9" s="231"/>
      <c r="H9" s="231"/>
      <c r="I9" s="231"/>
      <c r="J9" s="231"/>
      <c r="K9" s="231"/>
      <c r="L9" s="231"/>
      <c r="M9" s="231"/>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9" t="s">
        <v>168</v>
      </c>
      <c r="C11" s="230"/>
      <c r="D11" s="26"/>
      <c r="E11" s="14"/>
      <c r="F11" s="196" t="s">
        <v>169</v>
      </c>
      <c r="G11" s="105" t="s">
        <v>170</v>
      </c>
      <c r="H11" s="197" t="s">
        <v>171</v>
      </c>
      <c r="I11" s="22"/>
      <c r="J11" s="196" t="s">
        <v>172</v>
      </c>
      <c r="K11" s="105" t="s">
        <v>170</v>
      </c>
      <c r="L11" s="197" t="s">
        <v>171</v>
      </c>
      <c r="M11" s="18"/>
      <c r="N11" s="18"/>
      <c r="O11" s="18"/>
      <c r="P11" s="18"/>
      <c r="Q11" s="18"/>
      <c r="R11" s="18"/>
      <c r="U11" s="18"/>
      <c r="V11" s="18"/>
      <c r="W11" s="18"/>
      <c r="X11" s="18"/>
      <c r="Y11" s="18"/>
    </row>
    <row r="12" spans="1:64" ht="12" customHeight="1">
      <c r="B12" s="108" t="s">
        <v>173</v>
      </c>
      <c r="C12" s="198">
        <f>COUNTIF($B$18:$B$243,B12)</f>
        <v>6</v>
      </c>
      <c r="D12" s="26"/>
      <c r="E12" s="14"/>
      <c r="F12" s="199" t="s">
        <v>174</v>
      </c>
      <c r="G12" s="72">
        <f ca="1">J20+J58+J96+J134+J172+J210</f>
        <v>0</v>
      </c>
      <c r="H12" s="42">
        <f ca="1">IF(($G$15+$K$15)=0,0,G12/($G$15+$K$15))</f>
        <v>0</v>
      </c>
      <c r="I12" s="26"/>
      <c r="J12" s="183" t="s">
        <v>175</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176</v>
      </c>
      <c r="G13" s="72">
        <f ca="1">I20+I58+I96+I134+I172+I210</f>
        <v>20</v>
      </c>
      <c r="H13" s="42">
        <f ca="1">IF(($G$15+$K$15)=0,0,G13/($G$15+$K$15))</f>
        <v>0.16666666666666666</v>
      </c>
      <c r="I13" s="26"/>
      <c r="J13" s="183" t="s">
        <v>177</v>
      </c>
      <c r="K13" s="72">
        <f ca="1">F20+F58+F96+F134+F172+F210</f>
        <v>0</v>
      </c>
      <c r="L13" s="42">
        <f ca="1">IF(($G$15+$K$15)=0,0,K13/($G$15+$K$15))</f>
        <v>0</v>
      </c>
      <c r="M13" s="18"/>
      <c r="N13" s="18"/>
      <c r="O13" s="18"/>
      <c r="P13" s="18"/>
      <c r="Q13" s="18"/>
      <c r="R13" s="18"/>
      <c r="U13" s="18"/>
      <c r="V13" s="18"/>
      <c r="W13" s="18"/>
      <c r="X13" s="18"/>
      <c r="Y13" s="18"/>
    </row>
    <row r="14" spans="1:64" ht="12" customHeight="1" thickBot="1">
      <c r="B14" s="200" t="s">
        <v>178</v>
      </c>
      <c r="C14" s="201">
        <f>C12+C13</f>
        <v>6</v>
      </c>
      <c r="D14" s="26"/>
      <c r="E14" s="14"/>
      <c r="F14" s="199" t="s">
        <v>179</v>
      </c>
      <c r="G14" s="72">
        <f ca="1">H20+H58+H96+H134+H172+H210</f>
        <v>100</v>
      </c>
      <c r="H14" s="42">
        <f ca="1">IF(($G$15+$K$15)=0,0,G14/($G$15+$K$15))</f>
        <v>0.83333333333333337</v>
      </c>
      <c r="I14" s="26"/>
      <c r="J14" s="183" t="s">
        <v>180</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178</v>
      </c>
      <c r="G15" s="203">
        <f ca="1">SUM(G12:G14)</f>
        <v>120</v>
      </c>
      <c r="H15" s="204">
        <f ca="1">SUM(H12:H14)</f>
        <v>1</v>
      </c>
      <c r="I15" s="26"/>
      <c r="J15" s="200" t="s">
        <v>178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181</v>
      </c>
      <c r="B18" s="23" t="s">
        <v>173</v>
      </c>
      <c r="C18" s="24" t="s">
        <v>322</v>
      </c>
      <c r="D18" s="25" t="s">
        <v>183</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https://elecciones.comunidad.madrid/es</v>
      </c>
      <c r="D19" s="99" t="s">
        <v>176</v>
      </c>
      <c r="E19" s="79" t="str">
        <f t="shared" ref="E19:E53" si="0">IF(D19&lt;&gt;"",IF(AND(B19&lt;&gt;"",C19&lt;&gt;""),"","ERR"),"")</f>
        <v/>
      </c>
      <c r="F19" s="86" t="s">
        <v>185</v>
      </c>
      <c r="G19" s="87" t="s">
        <v>186</v>
      </c>
      <c r="H19" s="88" t="s">
        <v>184</v>
      </c>
      <c r="I19" s="89" t="s">
        <v>176</v>
      </c>
      <c r="J19" s="90" t="s">
        <v>174</v>
      </c>
      <c r="K19" s="179" t="s">
        <v>180</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Resultado Elecciones 28M 2023</v>
      </c>
      <c r="C20" s="85" t="str" cm="1">
        <f t="array" ref="C20">IFERROR(INDEX('03.Muestra'!$F$8:$F$42,SMALL(IF("Página Web"='03.Muestra'!$D$8:$D$42,ROW('03.Muestra'!$F$8:$F$42)-MIN(ROW('03.Muestra'!$D$8:$D$42))+1,""),ROW()-18)),"")</f>
        <v>https://elecciones.comunidad.madrid/es/resultados-elecciones-asamblea-madrid-28m-2023</v>
      </c>
      <c r="D20" s="99" t="s">
        <v>176</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20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Normativa electoral</v>
      </c>
      <c r="C21" s="85" t="str" cm="1">
        <f t="array" ref="C21">IFERROR(INDEX('03.Muestra'!$F$8:$F$42,SMALL(IF("Página Web"='03.Muestra'!$D$8:$D$42,ROW('03.Muestra'!$F$8:$F$42)-MIN(ROW('03.Muestra'!$D$8:$D$42))+1,""),ROW()-18)),"")</f>
        <v>https://elecciones.comunidad.madrid/es/informacion-electoral/normativa-electoral</v>
      </c>
      <c r="D21" s="99" t="s">
        <v>176</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 electoral</v>
      </c>
      <c r="C22" s="85" t="str" cm="1">
        <f t="array" ref="C22">IFERROR(INDEX('03.Muestra'!$F$8:$F$42,SMALL(IF("Página Web"='03.Muestra'!$D$8:$D$42,ROW('03.Muestra'!$F$8:$F$42)-MIN(ROW('03.Muestra'!$D$8:$D$42))+1,""),ROW()-18)),"")</f>
        <v>https://elecciones.comunidad.madrid/es/informacion-electoral/calendario-electoral</v>
      </c>
      <c r="D22" s="99" t="s">
        <v>176</v>
      </c>
      <c r="E22" s="79" t="str">
        <f t="shared" si="0"/>
        <v/>
      </c>
      <c r="G22" s="18"/>
      <c r="H22" s="18"/>
      <c r="I22" s="18"/>
      <c r="J22" s="18"/>
      <c r="K22" s="170" t="s">
        <v>185</v>
      </c>
      <c r="L22" s="92" t="s">
        <v>187</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Direcciones y teléfonos</v>
      </c>
      <c r="C23" s="85" t="str" cm="1">
        <f t="array" ref="C23">IFERROR(INDEX('03.Muestra'!$F$8:$F$42,SMALL(IF("Página Web"='03.Muestra'!$D$8:$D$42,ROW('03.Muestra'!$F$8:$F$42)-MIN(ROW('03.Muestra'!$D$8:$D$42))+1,""),ROW()-18)),"")</f>
        <v>https://elecciones.comunidad.madrid/es/juntas-electorales/direcciones-telefonos</v>
      </c>
      <c r="D23" s="99" t="s">
        <v>176</v>
      </c>
      <c r="E23" s="79" t="str">
        <f t="shared" si="0"/>
        <v/>
      </c>
      <c r="G23" s="18"/>
      <c r="H23" s="18"/>
      <c r="I23" s="18"/>
      <c r="J23" s="18"/>
      <c r="K23" s="88" t="s">
        <v>184</v>
      </c>
      <c r="L23" s="92" t="s">
        <v>188</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Impresos electrónicos</v>
      </c>
      <c r="C24" s="85" t="str" cm="1">
        <f t="array" ref="C24">IFERROR(INDEX('03.Muestra'!$F$8:$F$42,SMALL(IF("Página Web"='03.Muestra'!$D$8:$D$42,ROW('03.Muestra'!$F$8:$F$42)-MIN(ROW('03.Muestra'!$D$8:$D$42))+1,""),ROW()-18)),"")</f>
        <v>https://elecciones.comunidad.madrid/es/formaciones-politicas/impresos-electronicos</v>
      </c>
      <c r="D24" s="99" t="s">
        <v>176</v>
      </c>
      <c r="E24" s="79" t="str">
        <f t="shared" si="0"/>
        <v/>
      </c>
      <c r="G24" s="18"/>
      <c r="H24" s="18"/>
      <c r="I24" s="18"/>
      <c r="J24" s="18"/>
      <c r="K24" s="87" t="s">
        <v>186</v>
      </c>
      <c r="L24" s="92" t="s">
        <v>189</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Listado de candidaturas</v>
      </c>
      <c r="C25" s="85" t="str" cm="1">
        <f t="array" ref="C25">IFERROR(INDEX('03.Muestra'!$F$8:$F$42,SMALL(IF("Página Web"='03.Muestra'!$D$8:$D$42,ROW('03.Muestra'!$F$8:$F$42)-MIN(ROW('03.Muestra'!$D$8:$D$42))+1,""),ROW()-18)),"")</f>
        <v>https://elecciones.comunidad.madrid/es/formaciones-politicas/listado-candidaturas-proclamadas</v>
      </c>
      <c r="D25" s="99" t="s">
        <v>176</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Partido Feminista de España</v>
      </c>
      <c r="C26" s="85" t="str" cm="1">
        <f t="array" ref="C26">IFERROR(INDEX('03.Muestra'!$F$8:$F$42,SMALL(IF("Página Web"='03.Muestra'!$D$8:$D$42,ROW('03.Muestra'!$F$8:$F$42)-MIN(ROW('03.Muestra'!$D$8:$D$42))+1,""),ROW()-18)),"")</f>
        <v>https://elecciones.comunidad.madrid/es/formaciones-politicas/listado-candidaturas/partido-feminista-espana</v>
      </c>
      <c r="D26" s="99" t="s">
        <v>176</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¿Dónde voto?</v>
      </c>
      <c r="C27" s="85" t="str" cm="1">
        <f t="array" ref="C27">IFERROR(INDEX('03.Muestra'!$F$8:$F$42,SMALL(IF("Página Web"='03.Muestra'!$D$8:$D$42,ROW('03.Muestra'!$F$8:$F$42)-MIN(ROW('03.Muestra'!$D$8:$D$42))+1,""),ROW()-18)),"")</f>
        <v>https://elecciones.comunidad.madrid/es/votar/donde-voto</v>
      </c>
      <c r="D27" s="99" t="s">
        <v>176</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Voto presencial</v>
      </c>
      <c r="C28" s="85" t="str" cm="1">
        <f t="array" ref="C28">IFERROR(INDEX('03.Muestra'!$F$8:$F$42,SMALL(IF("Página Web"='03.Muestra'!$D$8:$D$42,ROW('03.Muestra'!$F$8:$F$42)-MIN(ROW('03.Muestra'!$D$8:$D$42))+1,""),ROW()-18)),"")</f>
        <v>https://elecciones.comunidad.madrid/es/voto-local-electoral/voto-presencial</v>
      </c>
      <c r="D28" s="99" t="s">
        <v>176</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Ciudadanos temporalmente en el extranjero</v>
      </c>
      <c r="C29" s="85" t="str" cm="1">
        <f t="array" ref="C29">IFERROR(INDEX('03.Muestra'!$F$8:$F$42,SMALL(IF("Página Web"='03.Muestra'!$D$8:$D$42,ROW('03.Muestra'!$F$8:$F$42)-MIN(ROW('03.Muestra'!$D$8:$D$42))+1,""),ROW()-18)),"")</f>
        <v>https://elecciones.comunidad.madrid/es/voto-correo/solicitud-voto-temporalmente-ausentes</v>
      </c>
      <c r="D29" s="99" t="s">
        <v>176</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Nuevo votante</v>
      </c>
      <c r="C30" s="85" t="str" cm="1">
        <f t="array" ref="C30">IFERROR(INDEX('03.Muestra'!$F$8:$F$42,SMALL(IF("Página Web"='03.Muestra'!$D$8:$D$42,ROW('03.Muestra'!$F$8:$F$42)-MIN(ROW('03.Muestra'!$D$8:$D$42))+1,""),ROW()-18)),"")</f>
        <v>https://elecciones.comunidad.madrid/es/votar/nuevo-votante</v>
      </c>
      <c r="D30" s="99" t="s">
        <v>176</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Simulación método D'Hondt</v>
      </c>
      <c r="C31" s="85" t="str" cm="1">
        <f t="array" ref="C31">IFERROR(INDEX('03.Muestra'!$F$8:$F$42,SMALL(IF("Página Web"='03.Muestra'!$D$8:$D$42,ROW('03.Muestra'!$F$8:$F$42)-MIN(ROW('03.Muestra'!$D$8:$D$42))+1,""),ROW()-18)),"")</f>
        <v>https://elecciones.comunidad.madrid/es/informacion-util/simulacion-metodo-dhondt</v>
      </c>
      <c r="D31" s="99" t="s">
        <v>176</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Ley D'Hondt</v>
      </c>
      <c r="C32" s="85" t="str" cm="1">
        <f t="array" ref="C32">IFERROR(INDEX('03.Muestra'!$F$8:$F$42,SMALL(IF("Página Web"='03.Muestra'!$D$8:$D$42,ROW('03.Muestra'!$F$8:$F$42)-MIN(ROW('03.Muestra'!$D$8:$D$42))+1,""),ROW()-18)),"")</f>
        <v>https://elecciones.comunidad.madrid/es/resultados/ley_d_hondt</v>
      </c>
      <c r="D32" s="99" t="s">
        <v>176</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Voto por correo elector CERA en España</v>
      </c>
      <c r="C33" s="85" t="str" cm="1">
        <f t="array" ref="C33">IFERROR(INDEX('03.Muestra'!$F$8:$F$42,SMALL(IF("Página Web"='03.Muestra'!$D$8:$D$42,ROW('03.Muestra'!$F$8:$F$42)-MIN(ROW('03.Muestra'!$D$8:$D$42))+1,""),ROW()-18)),"")</f>
        <v>https://elecciones.comunidad.madrid/es/preguntas-frecuentes/voto-correo-electores-residentes-extranjero</v>
      </c>
      <c r="D33" s="99" t="s">
        <v>176</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https://elecciones.comunidad.madrid/es/buzon-de-sugerencias</v>
      </c>
      <c r="D34" s="99" t="s">
        <v>176</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https://elecciones.comunidad.madrid/es/search?search_api_fulltext=partido</v>
      </c>
      <c r="D35" s="99" t="s">
        <v>176</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Legal-Privacidad</v>
      </c>
      <c r="C36" s="85" t="str" cm="1">
        <f t="array" ref="C36">IFERROR(INDEX('03.Muestra'!$F$8:$F$42,SMALL(IF("Página Web"='03.Muestra'!$D$8:$D$42,ROW('03.Muestra'!$F$8:$F$42)-MIN(ROW('03.Muestra'!$D$8:$D$42))+1,""),ROW()-18)),"")</f>
        <v>https://elecciones.comunidad.madrid/es/aviso-legal</v>
      </c>
      <c r="D36" s="99" t="s">
        <v>176</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https://elecciones.comunidad.madrid/es/sitemap</v>
      </c>
      <c r="D37" s="99" t="s">
        <v>176</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Declaracion Accesibilidad</v>
      </c>
      <c r="C38" s="85" t="str" cm="1">
        <f t="array" ref="C38">IFERROR(INDEX('03.Muestra'!$F$8:$F$42,SMALL(IF("Página Web"='03.Muestra'!$D$8:$D$42,ROW('03.Muestra'!$F$8:$F$42)-MIN(ROW('03.Muestra'!$D$8:$D$42))+1,""),ROW()-18)),"")</f>
        <v>https://elecciones.comunidad.madrid/es/accesibilidad</v>
      </c>
      <c r="D38" s="99" t="s">
        <v>176</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181</v>
      </c>
      <c r="B56" s="23" t="s">
        <v>173</v>
      </c>
      <c r="C56" s="24" t="s">
        <v>323</v>
      </c>
      <c r="D56" s="25" t="s">
        <v>183</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https://elecciones.comunidad.madrid/es</v>
      </c>
      <c r="D57" s="99" t="s">
        <v>184</v>
      </c>
      <c r="E57" s="79" t="str">
        <f t="shared" ref="E57:E91" si="2">IF(D57&lt;&gt;"",IF(AND(B57&lt;&gt;"",C57&lt;&gt;""),"","ERR"),"")</f>
        <v/>
      </c>
      <c r="F57" s="86" t="s">
        <v>185</v>
      </c>
      <c r="G57" s="87" t="s">
        <v>186</v>
      </c>
      <c r="H57" s="88" t="s">
        <v>184</v>
      </c>
      <c r="I57" s="89" t="s">
        <v>176</v>
      </c>
      <c r="J57" s="90" t="s">
        <v>174</v>
      </c>
      <c r="K57" s="179" t="s">
        <v>180</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Resultado Elecciones 28M 2023</v>
      </c>
      <c r="C58" s="85" t="str" cm="1">
        <f t="array" ref="C58">IFERROR(INDEX('03.Muestra'!$F$8:$F$42,SMALL(IF("Página Web"='03.Muestra'!$D$8:$D$42,ROW('03.Muestra'!$F$8:$F$42)-MIN(ROW('03.Muestra'!$D$8:$D$42))+1,""),ROW()-56)),"")</f>
        <v>https://elecciones.comunidad.madrid/es/resultados-elecciones-asamblea-madrid-28m-2023</v>
      </c>
      <c r="D58" s="99" t="s">
        <v>184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Normativa electoral</v>
      </c>
      <c r="C59" s="85" t="str" cm="1">
        <f t="array" ref="C59">IFERROR(INDEX('03.Muestra'!$F$8:$F$42,SMALL(IF("Página Web"='03.Muestra'!$D$8:$D$42,ROW('03.Muestra'!$F$8:$F$42)-MIN(ROW('03.Muestra'!$D$8:$D$42))+1,""),ROW()-56)),"")</f>
        <v>https://elecciones.comunidad.madrid/es/informacion-electoral/normativa-electoral</v>
      </c>
      <c r="D59" s="99" t="s">
        <v>184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 electoral</v>
      </c>
      <c r="C60" s="85" t="str" cm="1">
        <f t="array" ref="C60">IFERROR(INDEX('03.Muestra'!$F$8:$F$42,SMALL(IF("Página Web"='03.Muestra'!$D$8:$D$42,ROW('03.Muestra'!$F$8:$F$42)-MIN(ROW('03.Muestra'!$D$8:$D$42))+1,""),ROW()-56)),"")</f>
        <v>https://elecciones.comunidad.madrid/es/informacion-electoral/calendario-electoral</v>
      </c>
      <c r="D60" s="99" t="s">
        <v>184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Direcciones y teléfonos</v>
      </c>
      <c r="C61" s="85" t="str" cm="1">
        <f t="array" ref="C61">IFERROR(INDEX('03.Muestra'!$F$8:$F$42,SMALL(IF("Página Web"='03.Muestra'!$D$8:$D$42,ROW('03.Muestra'!$F$8:$F$42)-MIN(ROW('03.Muestra'!$D$8:$D$42))+1,""),ROW()-56)),"")</f>
        <v>https://elecciones.comunidad.madrid/es/juntas-electorales/direcciones-telefonos</v>
      </c>
      <c r="D61" s="99" t="s">
        <v>184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Impresos electrónicos</v>
      </c>
      <c r="C62" s="85" t="str" cm="1">
        <f t="array" ref="C62">IFERROR(INDEX('03.Muestra'!$F$8:$F$42,SMALL(IF("Página Web"='03.Muestra'!$D$8:$D$42,ROW('03.Muestra'!$F$8:$F$42)-MIN(ROW('03.Muestra'!$D$8:$D$42))+1,""),ROW()-56)),"")</f>
        <v>https://elecciones.comunidad.madrid/es/formaciones-politicas/impresos-electronicos</v>
      </c>
      <c r="D62" s="99" t="s">
        <v>184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Listado de candidaturas</v>
      </c>
      <c r="C63" s="85" t="str" cm="1">
        <f t="array" ref="C63">IFERROR(INDEX('03.Muestra'!$F$8:$F$42,SMALL(IF("Página Web"='03.Muestra'!$D$8:$D$42,ROW('03.Muestra'!$F$8:$F$42)-MIN(ROW('03.Muestra'!$D$8:$D$42))+1,""),ROW()-56)),"")</f>
        <v>https://elecciones.comunidad.madrid/es/formaciones-politicas/listado-candidaturas-proclamadas</v>
      </c>
      <c r="D63" s="99" t="s">
        <v>184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Partido Feminista de España</v>
      </c>
      <c r="C64" s="85" t="str" cm="1">
        <f t="array" ref="C64">IFERROR(INDEX('03.Muestra'!$F$8:$F$42,SMALL(IF("Página Web"='03.Muestra'!$D$8:$D$42,ROW('03.Muestra'!$F$8:$F$42)-MIN(ROW('03.Muestra'!$D$8:$D$42))+1,""),ROW()-56)),"")</f>
        <v>https://elecciones.comunidad.madrid/es/formaciones-politicas/listado-candidaturas/partido-feminista-espana</v>
      </c>
      <c r="D64" s="99" t="s">
        <v>184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¿Dónde voto?</v>
      </c>
      <c r="C65" s="85" t="str" cm="1">
        <f t="array" ref="C65">IFERROR(INDEX('03.Muestra'!$F$8:$F$42,SMALL(IF("Página Web"='03.Muestra'!$D$8:$D$42,ROW('03.Muestra'!$F$8:$F$42)-MIN(ROW('03.Muestra'!$D$8:$D$42))+1,""),ROW()-56)),"")</f>
        <v>https://elecciones.comunidad.madrid/es/votar/donde-voto</v>
      </c>
      <c r="D65" s="99" t="s">
        <v>184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Voto presencial</v>
      </c>
      <c r="C66" s="85" t="str" cm="1">
        <f t="array" ref="C66">IFERROR(INDEX('03.Muestra'!$F$8:$F$42,SMALL(IF("Página Web"='03.Muestra'!$D$8:$D$42,ROW('03.Muestra'!$F$8:$F$42)-MIN(ROW('03.Muestra'!$D$8:$D$42))+1,""),ROW()-56)),"")</f>
        <v>https://elecciones.comunidad.madrid/es/voto-local-electoral/voto-presencial</v>
      </c>
      <c r="D66" s="99" t="s">
        <v>184</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Ciudadanos temporalmente en el extranjero</v>
      </c>
      <c r="C67" s="85" t="str" cm="1">
        <f t="array" ref="C67">IFERROR(INDEX('03.Muestra'!$F$8:$F$42,SMALL(IF("Página Web"='03.Muestra'!$D$8:$D$42,ROW('03.Muestra'!$F$8:$F$42)-MIN(ROW('03.Muestra'!$D$8:$D$42))+1,""),ROW()-56)),"")</f>
        <v>https://elecciones.comunidad.madrid/es/voto-correo/solicitud-voto-temporalmente-ausentes</v>
      </c>
      <c r="D67" s="99" t="s">
        <v>184</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Nuevo votante</v>
      </c>
      <c r="C68" s="85" t="str" cm="1">
        <f t="array" ref="C68">IFERROR(INDEX('03.Muestra'!$F$8:$F$42,SMALL(IF("Página Web"='03.Muestra'!$D$8:$D$42,ROW('03.Muestra'!$F$8:$F$42)-MIN(ROW('03.Muestra'!$D$8:$D$42))+1,""),ROW()-56)),"")</f>
        <v>https://elecciones.comunidad.madrid/es/votar/nuevo-votante</v>
      </c>
      <c r="D68" s="99" t="s">
        <v>184</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Simulación método D'Hondt</v>
      </c>
      <c r="C69" s="85" t="str" cm="1">
        <f t="array" ref="C69">IFERROR(INDEX('03.Muestra'!$F$8:$F$42,SMALL(IF("Página Web"='03.Muestra'!$D$8:$D$42,ROW('03.Muestra'!$F$8:$F$42)-MIN(ROW('03.Muestra'!$D$8:$D$42))+1,""),ROW()-56)),"")</f>
        <v>https://elecciones.comunidad.madrid/es/informacion-util/simulacion-metodo-dhondt</v>
      </c>
      <c r="D69" s="99" t="s">
        <v>184</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Ley D'Hondt</v>
      </c>
      <c r="C70" s="85" t="str" cm="1">
        <f t="array" ref="C70">IFERROR(INDEX('03.Muestra'!$F$8:$F$42,SMALL(IF("Página Web"='03.Muestra'!$D$8:$D$42,ROW('03.Muestra'!$F$8:$F$42)-MIN(ROW('03.Muestra'!$D$8:$D$42))+1,""),ROW()-56)),"")</f>
        <v>https://elecciones.comunidad.madrid/es/resultados/ley_d_hondt</v>
      </c>
      <c r="D70" s="99" t="s">
        <v>184</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Voto por correo elector CERA en España</v>
      </c>
      <c r="C71" s="85" t="str" cm="1">
        <f t="array" ref="C71">IFERROR(INDEX('03.Muestra'!$F$8:$F$42,SMALL(IF("Página Web"='03.Muestra'!$D$8:$D$42,ROW('03.Muestra'!$F$8:$F$42)-MIN(ROW('03.Muestra'!$D$8:$D$42))+1,""),ROW()-56)),"")</f>
        <v>https://elecciones.comunidad.madrid/es/preguntas-frecuentes/voto-correo-electores-residentes-extranjero</v>
      </c>
      <c r="D71" s="99" t="s">
        <v>184</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https://elecciones.comunidad.madrid/es/buzon-de-sugerencias</v>
      </c>
      <c r="D72" s="99" t="s">
        <v>184</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https://elecciones.comunidad.madrid/es/search?search_api_fulltext=partido</v>
      </c>
      <c r="D73" s="99" t="s">
        <v>184</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Legal-Privacidad</v>
      </c>
      <c r="C74" s="85" t="str" cm="1">
        <f t="array" ref="C74">IFERROR(INDEX('03.Muestra'!$F$8:$F$42,SMALL(IF("Página Web"='03.Muestra'!$D$8:$D$42,ROW('03.Muestra'!$F$8:$F$42)-MIN(ROW('03.Muestra'!$D$8:$D$42))+1,""),ROW()-56)),"")</f>
        <v>https://elecciones.comunidad.madrid/es/aviso-legal</v>
      </c>
      <c r="D74" s="99" t="s">
        <v>184</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https://elecciones.comunidad.madrid/es/sitemap</v>
      </c>
      <c r="D75" s="99" t="s">
        <v>184</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Declaracion Accesibilidad</v>
      </c>
      <c r="C76" s="85" t="str" cm="1">
        <f t="array" ref="C76">IFERROR(INDEX('03.Muestra'!$F$8:$F$42,SMALL(IF("Página Web"='03.Muestra'!$D$8:$D$42,ROW('03.Muestra'!$F$8:$F$42)-MIN(ROW('03.Muestra'!$D$8:$D$42))+1,""),ROW()-56)),"")</f>
        <v>https://elecciones.comunidad.madrid/es/accesibilidad</v>
      </c>
      <c r="D76" s="99" t="s">
        <v>184</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181</v>
      </c>
      <c r="B94" s="23" t="s">
        <v>173</v>
      </c>
      <c r="C94" s="24" t="s">
        <v>324</v>
      </c>
      <c r="D94" s="25" t="s">
        <v>183</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https://elecciones.comunidad.madrid/es</v>
      </c>
      <c r="D95" s="99" t="s">
        <v>184</v>
      </c>
      <c r="E95" s="79" t="str">
        <f t="shared" ref="E95:E129" si="4">IF(D95&lt;&gt;"",IF(AND(B95&lt;&gt;"",C95&lt;&gt;""),"","ERR"),"")</f>
        <v/>
      </c>
      <c r="F95" s="86" t="s">
        <v>185</v>
      </c>
      <c r="G95" s="87" t="s">
        <v>186</v>
      </c>
      <c r="H95" s="88" t="s">
        <v>184</v>
      </c>
      <c r="I95" s="89" t="s">
        <v>176</v>
      </c>
      <c r="J95" s="90" t="s">
        <v>174</v>
      </c>
      <c r="K95" s="179" t="s">
        <v>180</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Resultado Elecciones 28M 2023</v>
      </c>
      <c r="C96" s="85" t="str" cm="1">
        <f t="array" ref="C96">IFERROR(INDEX('03.Muestra'!$F$8:$F$42,SMALL(IF("Página Web"='03.Muestra'!$D$8:$D$42,ROW('03.Muestra'!$F$8:$F$42)-MIN(ROW('03.Muestra'!$D$8:$D$42))+1,""),ROW()-94)),"")</f>
        <v>https://elecciones.comunidad.madrid/es/resultados-elecciones-asamblea-madrid-28m-2023</v>
      </c>
      <c r="D96" s="99" t="s">
        <v>184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Normativa electoral</v>
      </c>
      <c r="C97" s="85" t="str" cm="1">
        <f t="array" ref="C97">IFERROR(INDEX('03.Muestra'!$F$8:$F$42,SMALL(IF("Página Web"='03.Muestra'!$D$8:$D$42,ROW('03.Muestra'!$F$8:$F$42)-MIN(ROW('03.Muestra'!$D$8:$D$42))+1,""),ROW()-94)),"")</f>
        <v>https://elecciones.comunidad.madrid/es/informacion-electoral/normativa-electoral</v>
      </c>
      <c r="D97" s="99" t="s">
        <v>184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 electoral</v>
      </c>
      <c r="C98" s="85" t="str" cm="1">
        <f t="array" ref="C98">IFERROR(INDEX('03.Muestra'!$F$8:$F$42,SMALL(IF("Página Web"='03.Muestra'!$D$8:$D$42,ROW('03.Muestra'!$F$8:$F$42)-MIN(ROW('03.Muestra'!$D$8:$D$42))+1,""),ROW()-94)),"")</f>
        <v>https://elecciones.comunidad.madrid/es/informacion-electoral/calendario-electoral</v>
      </c>
      <c r="D98" s="99" t="s">
        <v>184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Direcciones y teléfonos</v>
      </c>
      <c r="C99" s="85" t="str" cm="1">
        <f t="array" ref="C99">IFERROR(INDEX('03.Muestra'!$F$8:$F$42,SMALL(IF("Página Web"='03.Muestra'!$D$8:$D$42,ROW('03.Muestra'!$F$8:$F$42)-MIN(ROW('03.Muestra'!$D$8:$D$42))+1,""),ROW()-94)),"")</f>
        <v>https://elecciones.comunidad.madrid/es/juntas-electorales/direcciones-telefonos</v>
      </c>
      <c r="D99" s="99" t="s">
        <v>184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Impresos electrónicos</v>
      </c>
      <c r="C100" s="85" t="str" cm="1">
        <f t="array" ref="C100">IFERROR(INDEX('03.Muestra'!$F$8:$F$42,SMALL(IF("Página Web"='03.Muestra'!$D$8:$D$42,ROW('03.Muestra'!$F$8:$F$42)-MIN(ROW('03.Muestra'!$D$8:$D$42))+1,""),ROW()-94)),"")</f>
        <v>https://elecciones.comunidad.madrid/es/formaciones-politicas/impresos-electronicos</v>
      </c>
      <c r="D100" s="99" t="s">
        <v>184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Listado de candidaturas</v>
      </c>
      <c r="C101" s="85" t="str" cm="1">
        <f t="array" ref="C101">IFERROR(INDEX('03.Muestra'!$F$8:$F$42,SMALL(IF("Página Web"='03.Muestra'!$D$8:$D$42,ROW('03.Muestra'!$F$8:$F$42)-MIN(ROW('03.Muestra'!$D$8:$D$42))+1,""),ROW()-94)),"")</f>
        <v>https://elecciones.comunidad.madrid/es/formaciones-politicas/listado-candidaturas-proclamadas</v>
      </c>
      <c r="D101" s="99" t="s">
        <v>184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Partido Feminista de España</v>
      </c>
      <c r="C102" s="85" t="str" cm="1">
        <f t="array" ref="C102">IFERROR(INDEX('03.Muestra'!$F$8:$F$42,SMALL(IF("Página Web"='03.Muestra'!$D$8:$D$42,ROW('03.Muestra'!$F$8:$F$42)-MIN(ROW('03.Muestra'!$D$8:$D$42))+1,""),ROW()-94)),"")</f>
        <v>https://elecciones.comunidad.madrid/es/formaciones-politicas/listado-candidaturas/partido-feminista-espana</v>
      </c>
      <c r="D102" s="99" t="s">
        <v>184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¿Dónde voto?</v>
      </c>
      <c r="C103" s="85" t="str" cm="1">
        <f t="array" ref="C103">IFERROR(INDEX('03.Muestra'!$F$8:$F$42,SMALL(IF("Página Web"='03.Muestra'!$D$8:$D$42,ROW('03.Muestra'!$F$8:$F$42)-MIN(ROW('03.Muestra'!$D$8:$D$42))+1,""),ROW()-94)),"")</f>
        <v>https://elecciones.comunidad.madrid/es/votar/donde-voto</v>
      </c>
      <c r="D103" s="99" t="s">
        <v>184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Voto presencial</v>
      </c>
      <c r="C104" s="85" t="str" cm="1">
        <f t="array" ref="C104">IFERROR(INDEX('03.Muestra'!$F$8:$F$42,SMALL(IF("Página Web"='03.Muestra'!$D$8:$D$42,ROW('03.Muestra'!$F$8:$F$42)-MIN(ROW('03.Muestra'!$D$8:$D$42))+1,""),ROW()-94)),"")</f>
        <v>https://elecciones.comunidad.madrid/es/voto-local-electoral/voto-presencial</v>
      </c>
      <c r="D104" s="99" t="s">
        <v>184</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Ciudadanos temporalmente en el extranjero</v>
      </c>
      <c r="C105" s="85" t="str" cm="1">
        <f t="array" ref="C105">IFERROR(INDEX('03.Muestra'!$F$8:$F$42,SMALL(IF("Página Web"='03.Muestra'!$D$8:$D$42,ROW('03.Muestra'!$F$8:$F$42)-MIN(ROW('03.Muestra'!$D$8:$D$42))+1,""),ROW()-94)),"")</f>
        <v>https://elecciones.comunidad.madrid/es/voto-correo/solicitud-voto-temporalmente-ausentes</v>
      </c>
      <c r="D105" s="99" t="s">
        <v>184</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Nuevo votante</v>
      </c>
      <c r="C106" s="85" t="str" cm="1">
        <f t="array" ref="C106">IFERROR(INDEX('03.Muestra'!$F$8:$F$42,SMALL(IF("Página Web"='03.Muestra'!$D$8:$D$42,ROW('03.Muestra'!$F$8:$F$42)-MIN(ROW('03.Muestra'!$D$8:$D$42))+1,""),ROW()-94)),"")</f>
        <v>https://elecciones.comunidad.madrid/es/votar/nuevo-votante</v>
      </c>
      <c r="D106" s="99" t="s">
        <v>184</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Simulación método D'Hondt</v>
      </c>
      <c r="C107" s="85" t="str" cm="1">
        <f t="array" ref="C107">IFERROR(INDEX('03.Muestra'!$F$8:$F$42,SMALL(IF("Página Web"='03.Muestra'!$D$8:$D$42,ROW('03.Muestra'!$F$8:$F$42)-MIN(ROW('03.Muestra'!$D$8:$D$42))+1,""),ROW()-94)),"")</f>
        <v>https://elecciones.comunidad.madrid/es/informacion-util/simulacion-metodo-dhondt</v>
      </c>
      <c r="D107" s="99" t="s">
        <v>184</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Ley D'Hondt</v>
      </c>
      <c r="C108" s="85" t="str" cm="1">
        <f t="array" ref="C108">IFERROR(INDEX('03.Muestra'!$F$8:$F$42,SMALL(IF("Página Web"='03.Muestra'!$D$8:$D$42,ROW('03.Muestra'!$F$8:$F$42)-MIN(ROW('03.Muestra'!$D$8:$D$42))+1,""),ROW()-94)),"")</f>
        <v>https://elecciones.comunidad.madrid/es/resultados/ley_d_hondt</v>
      </c>
      <c r="D108" s="99" t="s">
        <v>184</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Voto por correo elector CERA en España</v>
      </c>
      <c r="C109" s="85" t="str" cm="1">
        <f t="array" ref="C109">IFERROR(INDEX('03.Muestra'!$F$8:$F$42,SMALL(IF("Página Web"='03.Muestra'!$D$8:$D$42,ROW('03.Muestra'!$F$8:$F$42)-MIN(ROW('03.Muestra'!$D$8:$D$42))+1,""),ROW()-94)),"")</f>
        <v>https://elecciones.comunidad.madrid/es/preguntas-frecuentes/voto-correo-electores-residentes-extranjero</v>
      </c>
      <c r="D109" s="99" t="s">
        <v>184</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https://elecciones.comunidad.madrid/es/buzon-de-sugerencias</v>
      </c>
      <c r="D110" s="99" t="s">
        <v>184</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https://elecciones.comunidad.madrid/es/search?search_api_fulltext=partido</v>
      </c>
      <c r="D111" s="99" t="s">
        <v>184</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Legal-Privacidad</v>
      </c>
      <c r="C112" s="85" t="str" cm="1">
        <f t="array" ref="C112">IFERROR(INDEX('03.Muestra'!$F$8:$F$42,SMALL(IF("Página Web"='03.Muestra'!$D$8:$D$42,ROW('03.Muestra'!$F$8:$F$42)-MIN(ROW('03.Muestra'!$D$8:$D$42))+1,""),ROW()-94)),"")</f>
        <v>https://elecciones.comunidad.madrid/es/aviso-legal</v>
      </c>
      <c r="D112" s="99" t="s">
        <v>184</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https://elecciones.comunidad.madrid/es/sitemap</v>
      </c>
      <c r="D113" s="99" t="s">
        <v>184</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Declaracion Accesibilidad</v>
      </c>
      <c r="C114" s="85" t="str" cm="1">
        <f t="array" ref="C114">IFERROR(INDEX('03.Muestra'!$F$8:$F$42,SMALL(IF("Página Web"='03.Muestra'!$D$8:$D$42,ROW('03.Muestra'!$F$8:$F$42)-MIN(ROW('03.Muestra'!$D$8:$D$42))+1,""),ROW()-94)),"")</f>
        <v>https://elecciones.comunidad.madrid/es/accesibilidad</v>
      </c>
      <c r="D114" s="99" t="s">
        <v>184</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181</v>
      </c>
      <c r="B132" s="23" t="s">
        <v>173</v>
      </c>
      <c r="C132" s="24" t="s">
        <v>325</v>
      </c>
      <c r="D132" s="25" t="s">
        <v>183</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https://elecciones.comunidad.madrid/es</v>
      </c>
      <c r="D133" s="99" t="s">
        <v>184</v>
      </c>
      <c r="E133" s="79" t="str">
        <f t="shared" ref="E133:E167" si="6">IF(D133&lt;&gt;"",IF(AND(B133&lt;&gt;"",C133&lt;&gt;""),"","ERR"),"")</f>
        <v/>
      </c>
      <c r="F133" s="86" t="s">
        <v>185</v>
      </c>
      <c r="G133" s="87" t="s">
        <v>186</v>
      </c>
      <c r="H133" s="88" t="s">
        <v>184</v>
      </c>
      <c r="I133" s="89" t="s">
        <v>176</v>
      </c>
      <c r="J133" s="90" t="s">
        <v>174</v>
      </c>
      <c r="K133" s="179" t="s">
        <v>180</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Resultado Elecciones 28M 2023</v>
      </c>
      <c r="C134" s="85" t="str" cm="1">
        <f t="array" ref="C134">IFERROR(INDEX('03.Muestra'!$F$8:$F$42,SMALL(IF("Página Web"='03.Muestra'!$D$8:$D$42,ROW('03.Muestra'!$F$8:$F$42)-MIN(ROW('03.Muestra'!$D$8:$D$42))+1,""),ROW()-132)),"")</f>
        <v>https://elecciones.comunidad.madrid/es/resultados-elecciones-asamblea-madrid-28m-2023</v>
      </c>
      <c r="D134" s="99" t="s">
        <v>184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Normativa electoral</v>
      </c>
      <c r="C135" s="85" t="str" cm="1">
        <f t="array" ref="C135">IFERROR(INDEX('03.Muestra'!$F$8:$F$42,SMALL(IF("Página Web"='03.Muestra'!$D$8:$D$42,ROW('03.Muestra'!$F$8:$F$42)-MIN(ROW('03.Muestra'!$D$8:$D$42))+1,""),ROW()-132)),"")</f>
        <v>https://elecciones.comunidad.madrid/es/informacion-electoral/normativa-electoral</v>
      </c>
      <c r="D135" s="99" t="s">
        <v>184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 electoral</v>
      </c>
      <c r="C136" s="85" t="str" cm="1">
        <f t="array" ref="C136">IFERROR(INDEX('03.Muestra'!$F$8:$F$42,SMALL(IF("Página Web"='03.Muestra'!$D$8:$D$42,ROW('03.Muestra'!$F$8:$F$42)-MIN(ROW('03.Muestra'!$D$8:$D$42))+1,""),ROW()-132)),"")</f>
        <v>https://elecciones.comunidad.madrid/es/informacion-electoral/calendario-electoral</v>
      </c>
      <c r="D136" s="99" t="s">
        <v>184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Direcciones y teléfonos</v>
      </c>
      <c r="C137" s="85" t="str" cm="1">
        <f t="array" ref="C137">IFERROR(INDEX('03.Muestra'!$F$8:$F$42,SMALL(IF("Página Web"='03.Muestra'!$D$8:$D$42,ROW('03.Muestra'!$F$8:$F$42)-MIN(ROW('03.Muestra'!$D$8:$D$42))+1,""),ROW()-132)),"")</f>
        <v>https://elecciones.comunidad.madrid/es/juntas-electorales/direcciones-telefonos</v>
      </c>
      <c r="D137" s="99" t="s">
        <v>184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Impresos electrónicos</v>
      </c>
      <c r="C138" s="85" t="str" cm="1">
        <f t="array" ref="C138">IFERROR(INDEX('03.Muestra'!$F$8:$F$42,SMALL(IF("Página Web"='03.Muestra'!$D$8:$D$42,ROW('03.Muestra'!$F$8:$F$42)-MIN(ROW('03.Muestra'!$D$8:$D$42))+1,""),ROW()-132)),"")</f>
        <v>https://elecciones.comunidad.madrid/es/formaciones-politicas/impresos-electronicos</v>
      </c>
      <c r="D138" s="99" t="s">
        <v>184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Listado de candidaturas</v>
      </c>
      <c r="C139" s="85" t="str" cm="1">
        <f t="array" ref="C139">IFERROR(INDEX('03.Muestra'!$F$8:$F$42,SMALL(IF("Página Web"='03.Muestra'!$D$8:$D$42,ROW('03.Muestra'!$F$8:$F$42)-MIN(ROW('03.Muestra'!$D$8:$D$42))+1,""),ROW()-132)),"")</f>
        <v>https://elecciones.comunidad.madrid/es/formaciones-politicas/listado-candidaturas-proclamadas</v>
      </c>
      <c r="D139" s="99" t="s">
        <v>184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Partido Feminista de España</v>
      </c>
      <c r="C140" s="85" t="str" cm="1">
        <f t="array" ref="C140">IFERROR(INDEX('03.Muestra'!$F$8:$F$42,SMALL(IF("Página Web"='03.Muestra'!$D$8:$D$42,ROW('03.Muestra'!$F$8:$F$42)-MIN(ROW('03.Muestra'!$D$8:$D$42))+1,""),ROW()-132)),"")</f>
        <v>https://elecciones.comunidad.madrid/es/formaciones-politicas/listado-candidaturas/partido-feminista-espana</v>
      </c>
      <c r="D140" s="99" t="s">
        <v>184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¿Dónde voto?</v>
      </c>
      <c r="C141" s="85" t="str" cm="1">
        <f t="array" ref="C141">IFERROR(INDEX('03.Muestra'!$F$8:$F$42,SMALL(IF("Página Web"='03.Muestra'!$D$8:$D$42,ROW('03.Muestra'!$F$8:$F$42)-MIN(ROW('03.Muestra'!$D$8:$D$42))+1,""),ROW()-132)),"")</f>
        <v>https://elecciones.comunidad.madrid/es/votar/donde-voto</v>
      </c>
      <c r="D141" s="99" t="s">
        <v>184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Voto presencial</v>
      </c>
      <c r="C142" s="85" t="str" cm="1">
        <f t="array" ref="C142">IFERROR(INDEX('03.Muestra'!$F$8:$F$42,SMALL(IF("Página Web"='03.Muestra'!$D$8:$D$42,ROW('03.Muestra'!$F$8:$F$42)-MIN(ROW('03.Muestra'!$D$8:$D$42))+1,""),ROW()-132)),"")</f>
        <v>https://elecciones.comunidad.madrid/es/voto-local-electoral/voto-presencial</v>
      </c>
      <c r="D142" s="99" t="s">
        <v>184</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Ciudadanos temporalmente en el extranjero</v>
      </c>
      <c r="C143" s="85" t="str" cm="1">
        <f t="array" ref="C143">IFERROR(INDEX('03.Muestra'!$F$8:$F$42,SMALL(IF("Página Web"='03.Muestra'!$D$8:$D$42,ROW('03.Muestra'!$F$8:$F$42)-MIN(ROW('03.Muestra'!$D$8:$D$42))+1,""),ROW()-132)),"")</f>
        <v>https://elecciones.comunidad.madrid/es/voto-correo/solicitud-voto-temporalmente-ausentes</v>
      </c>
      <c r="D143" s="99" t="s">
        <v>184</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Nuevo votante</v>
      </c>
      <c r="C144" s="85" t="str" cm="1">
        <f t="array" ref="C144">IFERROR(INDEX('03.Muestra'!$F$8:$F$42,SMALL(IF("Página Web"='03.Muestra'!$D$8:$D$42,ROW('03.Muestra'!$F$8:$F$42)-MIN(ROW('03.Muestra'!$D$8:$D$42))+1,""),ROW()-132)),"")</f>
        <v>https://elecciones.comunidad.madrid/es/votar/nuevo-votante</v>
      </c>
      <c r="D144" s="99" t="s">
        <v>184</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Simulación método D'Hondt</v>
      </c>
      <c r="C145" s="85" t="str" cm="1">
        <f t="array" ref="C145">IFERROR(INDEX('03.Muestra'!$F$8:$F$42,SMALL(IF("Página Web"='03.Muestra'!$D$8:$D$42,ROW('03.Muestra'!$F$8:$F$42)-MIN(ROW('03.Muestra'!$D$8:$D$42))+1,""),ROW()-132)),"")</f>
        <v>https://elecciones.comunidad.madrid/es/informacion-util/simulacion-metodo-dhondt</v>
      </c>
      <c r="D145" s="99" t="s">
        <v>184</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Ley D'Hondt</v>
      </c>
      <c r="C146" s="85" t="str" cm="1">
        <f t="array" ref="C146">IFERROR(INDEX('03.Muestra'!$F$8:$F$42,SMALL(IF("Página Web"='03.Muestra'!$D$8:$D$42,ROW('03.Muestra'!$F$8:$F$42)-MIN(ROW('03.Muestra'!$D$8:$D$42))+1,""),ROW()-132)),"")</f>
        <v>https://elecciones.comunidad.madrid/es/resultados/ley_d_hondt</v>
      </c>
      <c r="D146" s="99" t="s">
        <v>184</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Voto por correo elector CERA en España</v>
      </c>
      <c r="C147" s="85" t="str" cm="1">
        <f t="array" ref="C147">IFERROR(INDEX('03.Muestra'!$F$8:$F$42,SMALL(IF("Página Web"='03.Muestra'!$D$8:$D$42,ROW('03.Muestra'!$F$8:$F$42)-MIN(ROW('03.Muestra'!$D$8:$D$42))+1,""),ROW()-132)),"")</f>
        <v>https://elecciones.comunidad.madrid/es/preguntas-frecuentes/voto-correo-electores-residentes-extranjero</v>
      </c>
      <c r="D147" s="99" t="s">
        <v>184</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https://elecciones.comunidad.madrid/es/buzon-de-sugerencias</v>
      </c>
      <c r="D148" s="99" t="s">
        <v>184</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https://elecciones.comunidad.madrid/es/search?search_api_fulltext=partido</v>
      </c>
      <c r="D149" s="99" t="s">
        <v>184</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Legal-Privacidad</v>
      </c>
      <c r="C150" s="85" t="str" cm="1">
        <f t="array" ref="C150">IFERROR(INDEX('03.Muestra'!$F$8:$F$42,SMALL(IF("Página Web"='03.Muestra'!$D$8:$D$42,ROW('03.Muestra'!$F$8:$F$42)-MIN(ROW('03.Muestra'!$D$8:$D$42))+1,""),ROW()-132)),"")</f>
        <v>https://elecciones.comunidad.madrid/es/aviso-legal</v>
      </c>
      <c r="D150" s="99" t="s">
        <v>184</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https://elecciones.comunidad.madrid/es/sitemap</v>
      </c>
      <c r="D151" s="99" t="s">
        <v>184</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Declaracion Accesibilidad</v>
      </c>
      <c r="C152" s="85" t="str" cm="1">
        <f t="array" ref="C152">IFERROR(INDEX('03.Muestra'!$F$8:$F$42,SMALL(IF("Página Web"='03.Muestra'!$D$8:$D$42,ROW('03.Muestra'!$F$8:$F$42)-MIN(ROW('03.Muestra'!$D$8:$D$42))+1,""),ROW()-132)),"")</f>
        <v>https://elecciones.comunidad.madrid/es/accesibilidad</v>
      </c>
      <c r="D152" s="99" t="s">
        <v>184</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181</v>
      </c>
      <c r="B170" s="23" t="s">
        <v>173</v>
      </c>
      <c r="C170" s="24" t="s">
        <v>326</v>
      </c>
      <c r="D170" s="25" t="s">
        <v>183</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https://elecciones.comunidad.madrid/es</v>
      </c>
      <c r="D171" s="99" t="s">
        <v>184</v>
      </c>
      <c r="E171" s="79" t="str">
        <f t="shared" ref="E171:E205" si="8">IF(D171&lt;&gt;"",IF(AND(B171&lt;&gt;"",C171&lt;&gt;""),"","ERR"),"")</f>
        <v/>
      </c>
      <c r="F171" s="86" t="s">
        <v>185</v>
      </c>
      <c r="G171" s="87" t="s">
        <v>186</v>
      </c>
      <c r="H171" s="88" t="s">
        <v>184</v>
      </c>
      <c r="I171" s="89" t="s">
        <v>176</v>
      </c>
      <c r="J171" s="90" t="s">
        <v>174</v>
      </c>
      <c r="K171" s="179" t="s">
        <v>180</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Resultado Elecciones 28M 2023</v>
      </c>
      <c r="C172" s="85" t="str" cm="1">
        <f t="array" ref="C172">IFERROR(INDEX('03.Muestra'!$F$8:$F$42,SMALL(IF("Página Web"='03.Muestra'!$D$8:$D$42,ROW('03.Muestra'!$F$8:$F$42)-MIN(ROW('03.Muestra'!$D$8:$D$42))+1,""),ROW()-170)),"")</f>
        <v>https://elecciones.comunidad.madrid/es/resultados-elecciones-asamblea-madrid-28m-2023</v>
      </c>
      <c r="D172" s="99" t="s">
        <v>184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Normativa electoral</v>
      </c>
      <c r="C173" s="85" t="str" cm="1">
        <f t="array" ref="C173">IFERROR(INDEX('03.Muestra'!$F$8:$F$42,SMALL(IF("Página Web"='03.Muestra'!$D$8:$D$42,ROW('03.Muestra'!$F$8:$F$42)-MIN(ROW('03.Muestra'!$D$8:$D$42))+1,""),ROW()-170)),"")</f>
        <v>https://elecciones.comunidad.madrid/es/informacion-electoral/normativa-electoral</v>
      </c>
      <c r="D173" s="99" t="s">
        <v>184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 electoral</v>
      </c>
      <c r="C174" s="85" t="str" cm="1">
        <f t="array" ref="C174">IFERROR(INDEX('03.Muestra'!$F$8:$F$42,SMALL(IF("Página Web"='03.Muestra'!$D$8:$D$42,ROW('03.Muestra'!$F$8:$F$42)-MIN(ROW('03.Muestra'!$D$8:$D$42))+1,""),ROW()-170)),"")</f>
        <v>https://elecciones.comunidad.madrid/es/informacion-electoral/calendario-electoral</v>
      </c>
      <c r="D174" s="99" t="s">
        <v>184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Direcciones y teléfonos</v>
      </c>
      <c r="C175" s="85" t="str" cm="1">
        <f t="array" ref="C175">IFERROR(INDEX('03.Muestra'!$F$8:$F$42,SMALL(IF("Página Web"='03.Muestra'!$D$8:$D$42,ROW('03.Muestra'!$F$8:$F$42)-MIN(ROW('03.Muestra'!$D$8:$D$42))+1,""),ROW()-170)),"")</f>
        <v>https://elecciones.comunidad.madrid/es/juntas-electorales/direcciones-telefonos</v>
      </c>
      <c r="D175" s="99" t="s">
        <v>184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Impresos electrónicos</v>
      </c>
      <c r="C176" s="85" t="str" cm="1">
        <f t="array" ref="C176">IFERROR(INDEX('03.Muestra'!$F$8:$F$42,SMALL(IF("Página Web"='03.Muestra'!$D$8:$D$42,ROW('03.Muestra'!$F$8:$F$42)-MIN(ROW('03.Muestra'!$D$8:$D$42))+1,""),ROW()-170)),"")</f>
        <v>https://elecciones.comunidad.madrid/es/formaciones-politicas/impresos-electronicos</v>
      </c>
      <c r="D176" s="99" t="s">
        <v>184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Listado de candidaturas</v>
      </c>
      <c r="C177" s="85" t="str" cm="1">
        <f t="array" ref="C177">IFERROR(INDEX('03.Muestra'!$F$8:$F$42,SMALL(IF("Página Web"='03.Muestra'!$D$8:$D$42,ROW('03.Muestra'!$F$8:$F$42)-MIN(ROW('03.Muestra'!$D$8:$D$42))+1,""),ROW()-170)),"")</f>
        <v>https://elecciones.comunidad.madrid/es/formaciones-politicas/listado-candidaturas-proclamadas</v>
      </c>
      <c r="D177" s="99" t="s">
        <v>184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Partido Feminista de España</v>
      </c>
      <c r="C178" s="85" t="str" cm="1">
        <f t="array" ref="C178">IFERROR(INDEX('03.Muestra'!$F$8:$F$42,SMALL(IF("Página Web"='03.Muestra'!$D$8:$D$42,ROW('03.Muestra'!$F$8:$F$42)-MIN(ROW('03.Muestra'!$D$8:$D$42))+1,""),ROW()-170)),"")</f>
        <v>https://elecciones.comunidad.madrid/es/formaciones-politicas/listado-candidaturas/partido-feminista-espana</v>
      </c>
      <c r="D178" s="99" t="s">
        <v>184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¿Dónde voto?</v>
      </c>
      <c r="C179" s="85" t="str" cm="1">
        <f t="array" ref="C179">IFERROR(INDEX('03.Muestra'!$F$8:$F$42,SMALL(IF("Página Web"='03.Muestra'!$D$8:$D$42,ROW('03.Muestra'!$F$8:$F$42)-MIN(ROW('03.Muestra'!$D$8:$D$42))+1,""),ROW()-170)),"")</f>
        <v>https://elecciones.comunidad.madrid/es/votar/donde-voto</v>
      </c>
      <c r="D179" s="99" t="s">
        <v>184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Voto presencial</v>
      </c>
      <c r="C180" s="85" t="str" cm="1">
        <f t="array" ref="C180">IFERROR(INDEX('03.Muestra'!$F$8:$F$42,SMALL(IF("Página Web"='03.Muestra'!$D$8:$D$42,ROW('03.Muestra'!$F$8:$F$42)-MIN(ROW('03.Muestra'!$D$8:$D$42))+1,""),ROW()-170)),"")</f>
        <v>https://elecciones.comunidad.madrid/es/voto-local-electoral/voto-presencial</v>
      </c>
      <c r="D180" s="99" t="s">
        <v>184</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Ciudadanos temporalmente en el extranjero</v>
      </c>
      <c r="C181" s="85" t="str" cm="1">
        <f t="array" ref="C181">IFERROR(INDEX('03.Muestra'!$F$8:$F$42,SMALL(IF("Página Web"='03.Muestra'!$D$8:$D$42,ROW('03.Muestra'!$F$8:$F$42)-MIN(ROW('03.Muestra'!$D$8:$D$42))+1,""),ROW()-170)),"")</f>
        <v>https://elecciones.comunidad.madrid/es/voto-correo/solicitud-voto-temporalmente-ausentes</v>
      </c>
      <c r="D181" s="99" t="s">
        <v>184</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Nuevo votante</v>
      </c>
      <c r="C182" s="85" t="str" cm="1">
        <f t="array" ref="C182">IFERROR(INDEX('03.Muestra'!$F$8:$F$42,SMALL(IF("Página Web"='03.Muestra'!$D$8:$D$42,ROW('03.Muestra'!$F$8:$F$42)-MIN(ROW('03.Muestra'!$D$8:$D$42))+1,""),ROW()-170)),"")</f>
        <v>https://elecciones.comunidad.madrid/es/votar/nuevo-votante</v>
      </c>
      <c r="D182" s="99" t="s">
        <v>184</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Simulación método D'Hondt</v>
      </c>
      <c r="C183" s="85" t="str" cm="1">
        <f t="array" ref="C183">IFERROR(INDEX('03.Muestra'!$F$8:$F$42,SMALL(IF("Página Web"='03.Muestra'!$D$8:$D$42,ROW('03.Muestra'!$F$8:$F$42)-MIN(ROW('03.Muestra'!$D$8:$D$42))+1,""),ROW()-170)),"")</f>
        <v>https://elecciones.comunidad.madrid/es/informacion-util/simulacion-metodo-dhondt</v>
      </c>
      <c r="D183" s="99" t="s">
        <v>184</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Ley D'Hondt</v>
      </c>
      <c r="C184" s="85" t="str" cm="1">
        <f t="array" ref="C184">IFERROR(INDEX('03.Muestra'!$F$8:$F$42,SMALL(IF("Página Web"='03.Muestra'!$D$8:$D$42,ROW('03.Muestra'!$F$8:$F$42)-MIN(ROW('03.Muestra'!$D$8:$D$42))+1,""),ROW()-170)),"")</f>
        <v>https://elecciones.comunidad.madrid/es/resultados/ley_d_hondt</v>
      </c>
      <c r="D184" s="99" t="s">
        <v>184</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Voto por correo elector CERA en España</v>
      </c>
      <c r="C185" s="85" t="str" cm="1">
        <f t="array" ref="C185">IFERROR(INDEX('03.Muestra'!$F$8:$F$42,SMALL(IF("Página Web"='03.Muestra'!$D$8:$D$42,ROW('03.Muestra'!$F$8:$F$42)-MIN(ROW('03.Muestra'!$D$8:$D$42))+1,""),ROW()-170)),"")</f>
        <v>https://elecciones.comunidad.madrid/es/preguntas-frecuentes/voto-correo-electores-residentes-extranjero</v>
      </c>
      <c r="D185" s="99" t="s">
        <v>184</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https://elecciones.comunidad.madrid/es/buzon-de-sugerencias</v>
      </c>
      <c r="D186" s="99" t="s">
        <v>184</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https://elecciones.comunidad.madrid/es/search?search_api_fulltext=partido</v>
      </c>
      <c r="D187" s="99" t="s">
        <v>184</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Legal-Privacidad</v>
      </c>
      <c r="C188" s="85" t="str" cm="1">
        <f t="array" ref="C188">IFERROR(INDEX('03.Muestra'!$F$8:$F$42,SMALL(IF("Página Web"='03.Muestra'!$D$8:$D$42,ROW('03.Muestra'!$F$8:$F$42)-MIN(ROW('03.Muestra'!$D$8:$D$42))+1,""),ROW()-170)),"")</f>
        <v>https://elecciones.comunidad.madrid/es/aviso-legal</v>
      </c>
      <c r="D188" s="99" t="s">
        <v>184</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https://elecciones.comunidad.madrid/es/sitemap</v>
      </c>
      <c r="D189" s="99" t="s">
        <v>184</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Declaracion Accesibilidad</v>
      </c>
      <c r="C190" s="85" t="str" cm="1">
        <f t="array" ref="C190">IFERROR(INDEX('03.Muestra'!$F$8:$F$42,SMALL(IF("Página Web"='03.Muestra'!$D$8:$D$42,ROW('03.Muestra'!$F$8:$F$42)-MIN(ROW('03.Muestra'!$D$8:$D$42))+1,""),ROW()-170)),"")</f>
        <v>https://elecciones.comunidad.madrid/es/accesibilidad</v>
      </c>
      <c r="D190" s="99" t="s">
        <v>184</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181</v>
      </c>
      <c r="B208" s="23" t="s">
        <v>173</v>
      </c>
      <c r="C208" s="24" t="s">
        <v>327</v>
      </c>
      <c r="D208" s="25" t="s">
        <v>183</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https://elecciones.comunidad.madrid/es</v>
      </c>
      <c r="D209" s="99" t="s">
        <v>184</v>
      </c>
      <c r="E209" s="79" t="str">
        <f t="shared" ref="E209:E243" si="10">IF(D209&lt;&gt;"",IF(AND(B209&lt;&gt;"",C209&lt;&gt;""),"","ERR"),"")</f>
        <v/>
      </c>
      <c r="F209" s="86" t="s">
        <v>185</v>
      </c>
      <c r="G209" s="87" t="s">
        <v>186</v>
      </c>
      <c r="H209" s="88" t="s">
        <v>184</v>
      </c>
      <c r="I209" s="89" t="s">
        <v>176</v>
      </c>
      <c r="J209" s="90" t="s">
        <v>174</v>
      </c>
      <c r="K209" s="179" t="s">
        <v>180</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Resultado Elecciones 28M 2023</v>
      </c>
      <c r="C210" s="85" t="str" cm="1">
        <f t="array" ref="C210">IFERROR(INDEX('03.Muestra'!$F$8:$F$42,SMALL(IF("Página Web"='03.Muestra'!$D$8:$D$42,ROW('03.Muestra'!$F$8:$F$42)-MIN(ROW('03.Muestra'!$D$8:$D$42))+1,""),ROW()-208)),"")</f>
        <v>https://elecciones.comunidad.madrid/es/resultados-elecciones-asamblea-madrid-28m-2023</v>
      </c>
      <c r="D210" s="99" t="s">
        <v>184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Normativa electoral</v>
      </c>
      <c r="C211" s="85" t="str" cm="1">
        <f t="array" ref="C211">IFERROR(INDEX('03.Muestra'!$F$8:$F$42,SMALL(IF("Página Web"='03.Muestra'!$D$8:$D$42,ROW('03.Muestra'!$F$8:$F$42)-MIN(ROW('03.Muestra'!$D$8:$D$42))+1,""),ROW()-208)),"")</f>
        <v>https://elecciones.comunidad.madrid/es/informacion-electoral/normativa-electoral</v>
      </c>
      <c r="D211" s="99" t="s">
        <v>184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Calendario electoral</v>
      </c>
      <c r="C212" s="85" t="str" cm="1">
        <f t="array" ref="C212">IFERROR(INDEX('03.Muestra'!$F$8:$F$42,SMALL(IF("Página Web"='03.Muestra'!$D$8:$D$42,ROW('03.Muestra'!$F$8:$F$42)-MIN(ROW('03.Muestra'!$D$8:$D$42))+1,""),ROW()-208)),"")</f>
        <v>https://elecciones.comunidad.madrid/es/informacion-electoral/calendario-electoral</v>
      </c>
      <c r="D212" s="99" t="s">
        <v>184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Direcciones y teléfonos</v>
      </c>
      <c r="C213" s="85" t="str" cm="1">
        <f t="array" ref="C213">IFERROR(INDEX('03.Muestra'!$F$8:$F$42,SMALL(IF("Página Web"='03.Muestra'!$D$8:$D$42,ROW('03.Muestra'!$F$8:$F$42)-MIN(ROW('03.Muestra'!$D$8:$D$42))+1,""),ROW()-208)),"")</f>
        <v>https://elecciones.comunidad.madrid/es/juntas-electorales/direcciones-telefonos</v>
      </c>
      <c r="D213" s="99" t="s">
        <v>184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Impresos electrónicos</v>
      </c>
      <c r="C214" s="85" t="str" cm="1">
        <f t="array" ref="C214">IFERROR(INDEX('03.Muestra'!$F$8:$F$42,SMALL(IF("Página Web"='03.Muestra'!$D$8:$D$42,ROW('03.Muestra'!$F$8:$F$42)-MIN(ROW('03.Muestra'!$D$8:$D$42))+1,""),ROW()-208)),"")</f>
        <v>https://elecciones.comunidad.madrid/es/formaciones-politicas/impresos-electronicos</v>
      </c>
      <c r="D214" s="99" t="s">
        <v>184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Listado de candidaturas</v>
      </c>
      <c r="C215" s="85" t="str" cm="1">
        <f t="array" ref="C215">IFERROR(INDEX('03.Muestra'!$F$8:$F$42,SMALL(IF("Página Web"='03.Muestra'!$D$8:$D$42,ROW('03.Muestra'!$F$8:$F$42)-MIN(ROW('03.Muestra'!$D$8:$D$42))+1,""),ROW()-208)),"")</f>
        <v>https://elecciones.comunidad.madrid/es/formaciones-politicas/listado-candidaturas-proclamadas</v>
      </c>
      <c r="D215" s="99" t="s">
        <v>184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Partido Feminista de España</v>
      </c>
      <c r="C216" s="85" t="str" cm="1">
        <f t="array" ref="C216">IFERROR(INDEX('03.Muestra'!$F$8:$F$42,SMALL(IF("Página Web"='03.Muestra'!$D$8:$D$42,ROW('03.Muestra'!$F$8:$F$42)-MIN(ROW('03.Muestra'!$D$8:$D$42))+1,""),ROW()-208)),"")</f>
        <v>https://elecciones.comunidad.madrid/es/formaciones-politicas/listado-candidaturas/partido-feminista-espana</v>
      </c>
      <c r="D216" s="99" t="s">
        <v>184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¿Dónde voto?</v>
      </c>
      <c r="C217" s="85" t="str" cm="1">
        <f t="array" ref="C217">IFERROR(INDEX('03.Muestra'!$F$8:$F$42,SMALL(IF("Página Web"='03.Muestra'!$D$8:$D$42,ROW('03.Muestra'!$F$8:$F$42)-MIN(ROW('03.Muestra'!$D$8:$D$42))+1,""),ROW()-208)),"")</f>
        <v>https://elecciones.comunidad.madrid/es/votar/donde-voto</v>
      </c>
      <c r="D217" s="99" t="s">
        <v>184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Voto presencial</v>
      </c>
      <c r="C218" s="85" t="str" cm="1">
        <f t="array" ref="C218">IFERROR(INDEX('03.Muestra'!$F$8:$F$42,SMALL(IF("Página Web"='03.Muestra'!$D$8:$D$42,ROW('03.Muestra'!$F$8:$F$42)-MIN(ROW('03.Muestra'!$D$8:$D$42))+1,""),ROW()-208)),"")</f>
        <v>https://elecciones.comunidad.madrid/es/voto-local-electoral/voto-presencial</v>
      </c>
      <c r="D218" s="99" t="s">
        <v>184</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Ciudadanos temporalmente en el extranjero</v>
      </c>
      <c r="C219" s="85" t="str" cm="1">
        <f t="array" ref="C219">IFERROR(INDEX('03.Muestra'!$F$8:$F$42,SMALL(IF("Página Web"='03.Muestra'!$D$8:$D$42,ROW('03.Muestra'!$F$8:$F$42)-MIN(ROW('03.Muestra'!$D$8:$D$42))+1,""),ROW()-208)),"")</f>
        <v>https://elecciones.comunidad.madrid/es/voto-correo/solicitud-voto-temporalmente-ausentes</v>
      </c>
      <c r="D219" s="99" t="s">
        <v>184</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Nuevo votante</v>
      </c>
      <c r="C220" s="85" t="str" cm="1">
        <f t="array" ref="C220">IFERROR(INDEX('03.Muestra'!$F$8:$F$42,SMALL(IF("Página Web"='03.Muestra'!$D$8:$D$42,ROW('03.Muestra'!$F$8:$F$42)-MIN(ROW('03.Muestra'!$D$8:$D$42))+1,""),ROW()-208)),"")</f>
        <v>https://elecciones.comunidad.madrid/es/votar/nuevo-votante</v>
      </c>
      <c r="D220" s="99" t="s">
        <v>184</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Simulación método D'Hondt</v>
      </c>
      <c r="C221" s="85" t="str" cm="1">
        <f t="array" ref="C221">IFERROR(INDEX('03.Muestra'!$F$8:$F$42,SMALL(IF("Página Web"='03.Muestra'!$D$8:$D$42,ROW('03.Muestra'!$F$8:$F$42)-MIN(ROW('03.Muestra'!$D$8:$D$42))+1,""),ROW()-208)),"")</f>
        <v>https://elecciones.comunidad.madrid/es/informacion-util/simulacion-metodo-dhondt</v>
      </c>
      <c r="D221" s="99" t="s">
        <v>184</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Ley D'Hondt</v>
      </c>
      <c r="C222" s="85" t="str" cm="1">
        <f t="array" ref="C222">IFERROR(INDEX('03.Muestra'!$F$8:$F$42,SMALL(IF("Página Web"='03.Muestra'!$D$8:$D$42,ROW('03.Muestra'!$F$8:$F$42)-MIN(ROW('03.Muestra'!$D$8:$D$42))+1,""),ROW()-208)),"")</f>
        <v>https://elecciones.comunidad.madrid/es/resultados/ley_d_hondt</v>
      </c>
      <c r="D222" s="99" t="s">
        <v>184</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Voto por correo elector CERA en España</v>
      </c>
      <c r="C223" s="85" t="str" cm="1">
        <f t="array" ref="C223">IFERROR(INDEX('03.Muestra'!$F$8:$F$42,SMALL(IF("Página Web"='03.Muestra'!$D$8:$D$42,ROW('03.Muestra'!$F$8:$F$42)-MIN(ROW('03.Muestra'!$D$8:$D$42))+1,""),ROW()-208)),"")</f>
        <v>https://elecciones.comunidad.madrid/es/preguntas-frecuentes/voto-correo-electores-residentes-extranjero</v>
      </c>
      <c r="D223" s="99" t="s">
        <v>184</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https://elecciones.comunidad.madrid/es/buzon-de-sugerencias</v>
      </c>
      <c r="D224" s="99" t="s">
        <v>184</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Buscador</v>
      </c>
      <c r="C225" s="85" t="str" cm="1">
        <f t="array" ref="C225">IFERROR(INDEX('03.Muestra'!$F$8:$F$42,SMALL(IF("Página Web"='03.Muestra'!$D$8:$D$42,ROW('03.Muestra'!$F$8:$F$42)-MIN(ROW('03.Muestra'!$D$8:$D$42))+1,""),ROW()-208)),"")</f>
        <v>https://elecciones.comunidad.madrid/es/search?search_api_fulltext=partido</v>
      </c>
      <c r="D225" s="99" t="s">
        <v>184</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Legal-Privacidad</v>
      </c>
      <c r="C226" s="85" t="str" cm="1">
        <f t="array" ref="C226">IFERROR(INDEX('03.Muestra'!$F$8:$F$42,SMALL(IF("Página Web"='03.Muestra'!$D$8:$D$42,ROW('03.Muestra'!$F$8:$F$42)-MIN(ROW('03.Muestra'!$D$8:$D$42))+1,""),ROW()-208)),"")</f>
        <v>https://elecciones.comunidad.madrid/es/aviso-legal</v>
      </c>
      <c r="D226" s="99" t="s">
        <v>184</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https://elecciones.comunidad.madrid/es/sitemap</v>
      </c>
      <c r="D227" s="99" t="s">
        <v>184</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Declaracion Accesibilidad</v>
      </c>
      <c r="C228" s="85" t="str" cm="1">
        <f t="array" ref="C228">IFERROR(INDEX('03.Muestra'!$F$8:$F$42,SMALL(IF("Página Web"='03.Muestra'!$D$8:$D$42,ROW('03.Muestra'!$F$8:$F$42)-MIN(ROW('03.Muestra'!$D$8:$D$42))+1,""),ROW()-208)),"")</f>
        <v>https://elecciones.comunidad.madrid/es/accesibilidad</v>
      </c>
      <c r="D228" s="99" t="s">
        <v>184</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206" priority="1099" stopIfTrue="1" operator="equal">
      <formula>"-"</formula>
    </cfRule>
  </conditionalFormatting>
  <conditionalFormatting sqref="D19:D53 D57:D91 D95:D129 D133:D167 D171:D205 D209:D243 F19:J19 F57:J57 F95:J95 F133:J133 F171:J171 F209:J209">
    <cfRule type="expression" dxfId="205" priority="1346" stopIfTrue="1">
      <formula>ISBLANK(D19)</formula>
    </cfRule>
  </conditionalFormatting>
  <conditionalFormatting sqref="D19:D53">
    <cfRule type="expression" dxfId="204" priority="589" stopIfTrue="1">
      <formula>ISBLANK(D19)</formula>
    </cfRule>
    <cfRule type="cellIs" dxfId="203" priority="594" stopIfTrue="1" operator="equal">
      <formula>"N/D"</formula>
    </cfRule>
    <cfRule type="cellIs" dxfId="202" priority="593" stopIfTrue="1" operator="equal">
      <formula>"N/T"</formula>
    </cfRule>
    <cfRule type="cellIs" dxfId="201" priority="592" stopIfTrue="1" operator="equal">
      <formula>"N/A"</formula>
    </cfRule>
    <cfRule type="cellIs" dxfId="200" priority="591" stopIfTrue="1" operator="equal">
      <formula>"Falla"</formula>
    </cfRule>
    <cfRule type="cellIs" dxfId="199" priority="590" stopIfTrue="1" operator="equal">
      <formula>"Pasa"</formula>
    </cfRule>
    <cfRule type="cellIs" dxfId="198" priority="588" stopIfTrue="1" operator="equal">
      <formula>"N/D"</formula>
    </cfRule>
    <cfRule type="cellIs" dxfId="197" priority="587" stopIfTrue="1" operator="equal">
      <formula>"N/T"</formula>
    </cfRule>
    <cfRule type="cellIs" dxfId="196" priority="586" stopIfTrue="1" operator="equal">
      <formula>"N/A"</formula>
    </cfRule>
    <cfRule type="cellIs" dxfId="195" priority="585" stopIfTrue="1" operator="equal">
      <formula>"Falla"</formula>
    </cfRule>
    <cfRule type="cellIs" dxfId="194" priority="584" stopIfTrue="1" operator="equal">
      <formula>"Pasa"</formula>
    </cfRule>
    <cfRule type="expression" dxfId="193" priority="583" stopIfTrue="1">
      <formula>ISBLANK(D19)</formula>
    </cfRule>
  </conditionalFormatting>
  <conditionalFormatting sqref="D57">
    <cfRule type="cellIs" dxfId="192" priority="117" stopIfTrue="1" operator="equal">
      <formula>"Falla"</formula>
    </cfRule>
    <cfRule type="cellIs" dxfId="191" priority="118" stopIfTrue="1" operator="equal">
      <formula>"N/A"</formula>
    </cfRule>
    <cfRule type="cellIs" dxfId="190" priority="120" stopIfTrue="1" operator="equal">
      <formula>"N/D"</formula>
    </cfRule>
    <cfRule type="cellIs" dxfId="189" priority="116" stopIfTrue="1" operator="equal">
      <formula>"Pasa"</formula>
    </cfRule>
    <cfRule type="cellIs" dxfId="188" priority="119" stopIfTrue="1" operator="equal">
      <formula>"N/T"</formula>
    </cfRule>
    <cfRule type="expression" dxfId="187" priority="115" stopIfTrue="1">
      <formula>ISBLANK(D57)</formula>
    </cfRule>
  </conditionalFormatting>
  <conditionalFormatting sqref="D57:D58">
    <cfRule type="expression" dxfId="186" priority="103" stopIfTrue="1">
      <formula>ISBLANK(D57)</formula>
    </cfRule>
    <cfRule type="cellIs" dxfId="185" priority="104" stopIfTrue="1" operator="equal">
      <formula>"Pasa"</formula>
    </cfRule>
    <cfRule type="cellIs" dxfId="184" priority="108" stopIfTrue="1" operator="equal">
      <formula>"N/D"</formula>
    </cfRule>
    <cfRule type="cellIs" dxfId="183" priority="107" stopIfTrue="1" operator="equal">
      <formula>"N/T"</formula>
    </cfRule>
    <cfRule type="cellIs" dxfId="182" priority="106" stopIfTrue="1" operator="equal">
      <formula>"N/A"</formula>
    </cfRule>
    <cfRule type="cellIs" dxfId="181" priority="105" stopIfTrue="1" operator="equal">
      <formula>"Falla"</formula>
    </cfRule>
  </conditionalFormatting>
  <conditionalFormatting sqref="D57:D91">
    <cfRule type="cellIs" dxfId="180" priority="573" stopIfTrue="1" operator="equal">
      <formula>"Falla"</formula>
    </cfRule>
    <cfRule type="cellIs" dxfId="179" priority="572" stopIfTrue="1" operator="equal">
      <formula>"Pasa"</formula>
    </cfRule>
    <cfRule type="expression" dxfId="178" priority="571" stopIfTrue="1">
      <formula>ISBLANK(D57)</formula>
    </cfRule>
    <cfRule type="cellIs" dxfId="177" priority="582" stopIfTrue="1" operator="equal">
      <formula>"N/D"</formula>
    </cfRule>
    <cfRule type="cellIs" dxfId="176" priority="580" stopIfTrue="1" operator="equal">
      <formula>"N/A"</formula>
    </cfRule>
    <cfRule type="cellIs" dxfId="175" priority="578" stopIfTrue="1" operator="equal">
      <formula>"Pasa"</formula>
    </cfRule>
    <cfRule type="expression" dxfId="174" priority="577" stopIfTrue="1">
      <formula>ISBLANK(D57)</formula>
    </cfRule>
    <cfRule type="cellIs" dxfId="173" priority="581" stopIfTrue="1" operator="equal">
      <formula>"N/T"</formula>
    </cfRule>
    <cfRule type="cellIs" dxfId="172" priority="576" stopIfTrue="1" operator="equal">
      <formula>"N/D"</formula>
    </cfRule>
    <cfRule type="cellIs" dxfId="171" priority="575" stopIfTrue="1" operator="equal">
      <formula>"N/T"</formula>
    </cfRule>
    <cfRule type="cellIs" dxfId="170" priority="574" stopIfTrue="1" operator="equal">
      <formula>"N/A"</formula>
    </cfRule>
    <cfRule type="cellIs" dxfId="169" priority="579" stopIfTrue="1" operator="equal">
      <formula>"Falla"</formula>
    </cfRule>
  </conditionalFormatting>
  <conditionalFormatting sqref="D58">
    <cfRule type="expression" dxfId="168" priority="97" stopIfTrue="1">
      <formula>ISBLANK(D58)</formula>
    </cfRule>
    <cfRule type="cellIs" dxfId="167" priority="98" stopIfTrue="1" operator="equal">
      <formula>"Pasa"</formula>
    </cfRule>
    <cfRule type="cellIs" dxfId="166" priority="99" stopIfTrue="1" operator="equal">
      <formula>"Falla"</formula>
    </cfRule>
    <cfRule type="cellIs" dxfId="165" priority="101" stopIfTrue="1" operator="equal">
      <formula>"N/T"</formula>
    </cfRule>
    <cfRule type="cellIs" dxfId="164" priority="102" stopIfTrue="1" operator="equal">
      <formula>"N/D"</formula>
    </cfRule>
    <cfRule type="cellIs" dxfId="163" priority="100" stopIfTrue="1" operator="equal">
      <formula>"N/A"</formula>
    </cfRule>
  </conditionalFormatting>
  <conditionalFormatting sqref="D95">
    <cfRule type="cellIs" dxfId="162" priority="96" stopIfTrue="1" operator="equal">
      <formula>"N/D"</formula>
    </cfRule>
    <cfRule type="expression" dxfId="161" priority="91" stopIfTrue="1">
      <formula>ISBLANK(D95)</formula>
    </cfRule>
    <cfRule type="cellIs" dxfId="160" priority="94" stopIfTrue="1" operator="equal">
      <formula>"N/A"</formula>
    </cfRule>
    <cfRule type="cellIs" dxfId="159" priority="93" stopIfTrue="1" operator="equal">
      <formula>"Falla"</formula>
    </cfRule>
    <cfRule type="cellIs" dxfId="158" priority="92" stopIfTrue="1" operator="equal">
      <formula>"Pasa"</formula>
    </cfRule>
    <cfRule type="cellIs" dxfId="157" priority="95" stopIfTrue="1" operator="equal">
      <formula>"N/T"</formula>
    </cfRule>
  </conditionalFormatting>
  <conditionalFormatting sqref="D95:D96">
    <cfRule type="expression" dxfId="156" priority="79" stopIfTrue="1">
      <formula>ISBLANK(D95)</formula>
    </cfRule>
    <cfRule type="cellIs" dxfId="155" priority="80" stopIfTrue="1" operator="equal">
      <formula>"Pasa"</formula>
    </cfRule>
    <cfRule type="cellIs" dxfId="154" priority="81" stopIfTrue="1" operator="equal">
      <formula>"Falla"</formula>
    </cfRule>
    <cfRule type="cellIs" dxfId="153" priority="82" stopIfTrue="1" operator="equal">
      <formula>"N/A"</formula>
    </cfRule>
    <cfRule type="cellIs" dxfId="152" priority="83" stopIfTrue="1" operator="equal">
      <formula>"N/T"</formula>
    </cfRule>
    <cfRule type="cellIs" dxfId="151" priority="84" stopIfTrue="1" operator="equal">
      <formula>"N/D"</formula>
    </cfRule>
  </conditionalFormatting>
  <conditionalFormatting sqref="D95:D129">
    <cfRule type="cellIs" dxfId="150" priority="561" stopIfTrue="1" operator="equal">
      <formula>"Falla"</formula>
    </cfRule>
    <cfRule type="cellIs" dxfId="149" priority="570" stopIfTrue="1" operator="equal">
      <formula>"N/D"</formula>
    </cfRule>
    <cfRule type="cellIs" dxfId="148" priority="569" stopIfTrue="1" operator="equal">
      <formula>"N/T"</formula>
    </cfRule>
    <cfRule type="cellIs" dxfId="147" priority="568" stopIfTrue="1" operator="equal">
      <formula>"N/A"</formula>
    </cfRule>
    <cfRule type="cellIs" dxfId="146" priority="562" stopIfTrue="1" operator="equal">
      <formula>"N/A"</formula>
    </cfRule>
    <cfRule type="cellIs" dxfId="145" priority="564" stopIfTrue="1" operator="equal">
      <formula>"N/D"</formula>
    </cfRule>
    <cfRule type="expression" dxfId="144" priority="565" stopIfTrue="1">
      <formula>ISBLANK(D95)</formula>
    </cfRule>
    <cfRule type="cellIs" dxfId="143" priority="566" stopIfTrue="1" operator="equal">
      <formula>"Pasa"</formula>
    </cfRule>
    <cfRule type="cellIs" dxfId="142" priority="567" stopIfTrue="1" operator="equal">
      <formula>"Falla"</formula>
    </cfRule>
    <cfRule type="cellIs" dxfId="141" priority="563" stopIfTrue="1" operator="equal">
      <formula>"N/T"</formula>
    </cfRule>
    <cfRule type="cellIs" dxfId="140" priority="560" stopIfTrue="1" operator="equal">
      <formula>"Pasa"</formula>
    </cfRule>
    <cfRule type="expression" dxfId="139" priority="559" stopIfTrue="1">
      <formula>ISBLANK(D95)</formula>
    </cfRule>
  </conditionalFormatting>
  <conditionalFormatting sqref="D96">
    <cfRule type="expression" dxfId="138" priority="73" stopIfTrue="1">
      <formula>ISBLANK(D96)</formula>
    </cfRule>
    <cfRule type="cellIs" dxfId="137" priority="74" stopIfTrue="1" operator="equal">
      <formula>"Pasa"</formula>
    </cfRule>
    <cfRule type="cellIs" dxfId="136" priority="77" stopIfTrue="1" operator="equal">
      <formula>"N/T"</formula>
    </cfRule>
    <cfRule type="cellIs" dxfId="135" priority="76" stopIfTrue="1" operator="equal">
      <formula>"N/A"</formula>
    </cfRule>
    <cfRule type="cellIs" dxfId="134" priority="78" stopIfTrue="1" operator="equal">
      <formula>"N/D"</formula>
    </cfRule>
    <cfRule type="cellIs" dxfId="133" priority="75" stopIfTrue="1" operator="equal">
      <formula>"Falla"</formula>
    </cfRule>
  </conditionalFormatting>
  <conditionalFormatting sqref="D133">
    <cfRule type="cellIs" dxfId="132" priority="69" stopIfTrue="1" operator="equal">
      <formula>"Falla"</formula>
    </cfRule>
    <cfRule type="cellIs" dxfId="131" priority="70" stopIfTrue="1" operator="equal">
      <formula>"N/A"</formula>
    </cfRule>
    <cfRule type="cellIs" dxfId="130" priority="71" stopIfTrue="1" operator="equal">
      <formula>"N/T"</formula>
    </cfRule>
    <cfRule type="expression" dxfId="129" priority="67" stopIfTrue="1">
      <formula>ISBLANK(D133)</formula>
    </cfRule>
    <cfRule type="cellIs" dxfId="128" priority="68" stopIfTrue="1" operator="equal">
      <formula>"Pasa"</formula>
    </cfRule>
    <cfRule type="cellIs" dxfId="127" priority="72" stopIfTrue="1" operator="equal">
      <formula>"N/D"</formula>
    </cfRule>
  </conditionalFormatting>
  <conditionalFormatting sqref="D133:D134">
    <cfRule type="cellIs" dxfId="126" priority="56" stopIfTrue="1" operator="equal">
      <formula>"Pasa"</formula>
    </cfRule>
    <cfRule type="cellIs" dxfId="125" priority="57" stopIfTrue="1" operator="equal">
      <formula>"Falla"</formula>
    </cfRule>
    <cfRule type="cellIs" dxfId="124" priority="59" stopIfTrue="1" operator="equal">
      <formula>"N/T"</formula>
    </cfRule>
    <cfRule type="cellIs" dxfId="123" priority="60" stopIfTrue="1" operator="equal">
      <formula>"N/D"</formula>
    </cfRule>
    <cfRule type="expression" dxfId="122" priority="55" stopIfTrue="1">
      <formula>ISBLANK(D133)</formula>
    </cfRule>
    <cfRule type="cellIs" dxfId="121" priority="58" stopIfTrue="1" operator="equal">
      <formula>"N/A"</formula>
    </cfRule>
  </conditionalFormatting>
  <conditionalFormatting sqref="D133:D167">
    <cfRule type="cellIs" dxfId="120" priority="556" stopIfTrue="1" operator="equal">
      <formula>"N/A"</formula>
    </cfRule>
    <cfRule type="cellIs" dxfId="119" priority="557" stopIfTrue="1" operator="equal">
      <formula>"N/T"</formula>
    </cfRule>
    <cfRule type="cellIs" dxfId="118" priority="558" stopIfTrue="1" operator="equal">
      <formula>"N/D"</formula>
    </cfRule>
    <cfRule type="expression" dxfId="117" priority="547" stopIfTrue="1">
      <formula>ISBLANK(D133)</formula>
    </cfRule>
    <cfRule type="cellIs" dxfId="116" priority="548" stopIfTrue="1" operator="equal">
      <formula>"Pasa"</formula>
    </cfRule>
    <cfRule type="cellIs" dxfId="115" priority="549" stopIfTrue="1" operator="equal">
      <formula>"Falla"</formula>
    </cfRule>
    <cfRule type="cellIs" dxfId="114" priority="550" stopIfTrue="1" operator="equal">
      <formula>"N/A"</formula>
    </cfRule>
    <cfRule type="cellIs" dxfId="113" priority="551" stopIfTrue="1" operator="equal">
      <formula>"N/T"</formula>
    </cfRule>
    <cfRule type="cellIs" dxfId="112" priority="552" stopIfTrue="1" operator="equal">
      <formula>"N/D"</formula>
    </cfRule>
    <cfRule type="expression" dxfId="111" priority="553" stopIfTrue="1">
      <formula>ISBLANK(D133)</formula>
    </cfRule>
    <cfRule type="cellIs" dxfId="110" priority="554" stopIfTrue="1" operator="equal">
      <formula>"Pasa"</formula>
    </cfRule>
    <cfRule type="cellIs" dxfId="109" priority="555" stopIfTrue="1" operator="equal">
      <formula>"Falla"</formula>
    </cfRule>
  </conditionalFormatting>
  <conditionalFormatting sqref="D134">
    <cfRule type="cellIs" dxfId="108" priority="51" stopIfTrue="1" operator="equal">
      <formula>"Falla"</formula>
    </cfRule>
    <cfRule type="cellIs" dxfId="107" priority="54" stopIfTrue="1" operator="equal">
      <formula>"N/D"</formula>
    </cfRule>
    <cfRule type="cellIs" dxfId="106" priority="53" stopIfTrue="1" operator="equal">
      <formula>"N/T"</formula>
    </cfRule>
    <cfRule type="cellIs" dxfId="105" priority="52" stopIfTrue="1" operator="equal">
      <formula>"N/A"</formula>
    </cfRule>
    <cfRule type="cellIs" dxfId="104" priority="50" stopIfTrue="1" operator="equal">
      <formula>"Pasa"</formula>
    </cfRule>
    <cfRule type="expression" dxfId="103" priority="49" stopIfTrue="1">
      <formula>ISBLANK(D134)</formula>
    </cfRule>
  </conditionalFormatting>
  <conditionalFormatting sqref="D171">
    <cfRule type="cellIs" dxfId="102" priority="48" stopIfTrue="1" operator="equal">
      <formula>"N/D"</formula>
    </cfRule>
    <cfRule type="cellIs" dxfId="101" priority="45" stopIfTrue="1" operator="equal">
      <formula>"Falla"</formula>
    </cfRule>
    <cfRule type="cellIs" dxfId="100" priority="44" stopIfTrue="1" operator="equal">
      <formula>"Pasa"</formula>
    </cfRule>
    <cfRule type="cellIs" dxfId="99" priority="46" stopIfTrue="1" operator="equal">
      <formula>"N/A"</formula>
    </cfRule>
    <cfRule type="expression" dxfId="98" priority="43" stopIfTrue="1">
      <formula>ISBLANK(D171)</formula>
    </cfRule>
    <cfRule type="cellIs" dxfId="97" priority="47" stopIfTrue="1" operator="equal">
      <formula>"N/T"</formula>
    </cfRule>
  </conditionalFormatting>
  <conditionalFormatting sqref="D171:D172">
    <cfRule type="cellIs" dxfId="96" priority="36" stopIfTrue="1" operator="equal">
      <formula>"N/D"</formula>
    </cfRule>
    <cfRule type="cellIs" dxfId="95" priority="35" stopIfTrue="1" operator="equal">
      <formula>"N/T"</formula>
    </cfRule>
    <cfRule type="cellIs" dxfId="94" priority="34" stopIfTrue="1" operator="equal">
      <formula>"N/A"</formula>
    </cfRule>
    <cfRule type="cellIs" dxfId="93" priority="33" stopIfTrue="1" operator="equal">
      <formula>"Falla"</formula>
    </cfRule>
    <cfRule type="cellIs" dxfId="92" priority="32" stopIfTrue="1" operator="equal">
      <formula>"Pasa"</formula>
    </cfRule>
    <cfRule type="expression" dxfId="91" priority="31" stopIfTrue="1">
      <formula>ISBLANK(D171)</formula>
    </cfRule>
  </conditionalFormatting>
  <conditionalFormatting sqref="D171:D205">
    <cfRule type="cellIs" dxfId="90" priority="542" stopIfTrue="1" operator="equal">
      <formula>"Pasa"</formula>
    </cfRule>
    <cfRule type="cellIs" dxfId="89" priority="544" stopIfTrue="1" operator="equal">
      <formula>"N/A"</formula>
    </cfRule>
    <cfRule type="cellIs" dxfId="88" priority="545" stopIfTrue="1" operator="equal">
      <formula>"N/T"</formula>
    </cfRule>
    <cfRule type="expression" dxfId="87" priority="535" stopIfTrue="1">
      <formula>ISBLANK(D171)</formula>
    </cfRule>
    <cfRule type="cellIs" dxfId="86" priority="546" stopIfTrue="1" operator="equal">
      <formula>"N/D"</formula>
    </cfRule>
    <cfRule type="cellIs" dxfId="85" priority="543" stopIfTrue="1" operator="equal">
      <formula>"Falla"</formula>
    </cfRule>
    <cfRule type="cellIs" dxfId="84" priority="536" stopIfTrue="1" operator="equal">
      <formula>"Pasa"</formula>
    </cfRule>
    <cfRule type="cellIs" dxfId="83" priority="537" stopIfTrue="1" operator="equal">
      <formula>"Falla"</formula>
    </cfRule>
    <cfRule type="cellIs" dxfId="82" priority="538" stopIfTrue="1" operator="equal">
      <formula>"N/A"</formula>
    </cfRule>
    <cfRule type="expression" dxfId="81" priority="541" stopIfTrue="1">
      <formula>ISBLANK(D171)</formula>
    </cfRule>
    <cfRule type="cellIs" dxfId="80" priority="539" stopIfTrue="1" operator="equal">
      <formula>"N/T"</formula>
    </cfRule>
    <cfRule type="cellIs" dxfId="79" priority="540" stopIfTrue="1" operator="equal">
      <formula>"N/D"</formula>
    </cfRule>
  </conditionalFormatting>
  <conditionalFormatting sqref="D172">
    <cfRule type="cellIs" dxfId="78" priority="29" stopIfTrue="1" operator="equal">
      <formula>"N/T"</formula>
    </cfRule>
    <cfRule type="cellIs" dxfId="77" priority="28" stopIfTrue="1" operator="equal">
      <formula>"N/A"</formula>
    </cfRule>
    <cfRule type="cellIs" dxfId="76" priority="27" stopIfTrue="1" operator="equal">
      <formula>"Falla"</formula>
    </cfRule>
    <cfRule type="cellIs" dxfId="75" priority="30" stopIfTrue="1" operator="equal">
      <formula>"N/D"</formula>
    </cfRule>
    <cfRule type="cellIs" dxfId="74" priority="26" stopIfTrue="1" operator="equal">
      <formula>"Pasa"</formula>
    </cfRule>
    <cfRule type="expression" dxfId="73" priority="25" stopIfTrue="1">
      <formula>ISBLANK(D172)</formula>
    </cfRule>
  </conditionalFormatting>
  <conditionalFormatting sqref="D209">
    <cfRule type="cellIs" dxfId="72" priority="23" stopIfTrue="1" operator="equal">
      <formula>"N/T"</formula>
    </cfRule>
    <cfRule type="cellIs" dxfId="71" priority="22" stopIfTrue="1" operator="equal">
      <formula>"N/A"</formula>
    </cfRule>
    <cfRule type="cellIs" dxfId="70" priority="24" stopIfTrue="1" operator="equal">
      <formula>"N/D"</formula>
    </cfRule>
    <cfRule type="cellIs" dxfId="69" priority="21" stopIfTrue="1" operator="equal">
      <formula>"Falla"</formula>
    </cfRule>
    <cfRule type="cellIs" dxfId="68" priority="20" stopIfTrue="1" operator="equal">
      <formula>"Pasa"</formula>
    </cfRule>
    <cfRule type="expression" dxfId="67" priority="19" stopIfTrue="1">
      <formula>ISBLANK(D209)</formula>
    </cfRule>
  </conditionalFormatting>
  <conditionalFormatting sqref="D209:D210">
    <cfRule type="expression" dxfId="66" priority="7" stopIfTrue="1">
      <formula>ISBLANK(D209)</formula>
    </cfRule>
    <cfRule type="cellIs" dxfId="65" priority="12" stopIfTrue="1" operator="equal">
      <formula>"N/D"</formula>
    </cfRule>
    <cfRule type="cellIs" dxfId="64" priority="11" stopIfTrue="1" operator="equal">
      <formula>"N/T"</formula>
    </cfRule>
    <cfRule type="cellIs" dxfId="63" priority="10" stopIfTrue="1" operator="equal">
      <formula>"N/A"</formula>
    </cfRule>
    <cfRule type="cellIs" dxfId="62" priority="9" stopIfTrue="1" operator="equal">
      <formula>"Falla"</formula>
    </cfRule>
    <cfRule type="cellIs" dxfId="61" priority="8" stopIfTrue="1" operator="equal">
      <formula>"Pasa"</formula>
    </cfRule>
  </conditionalFormatting>
  <conditionalFormatting sqref="D209:D243">
    <cfRule type="cellIs" dxfId="60" priority="524" stopIfTrue="1" operator="equal">
      <formula>"Pasa"</formula>
    </cfRule>
    <cfRule type="cellIs" dxfId="59" priority="533" stopIfTrue="1" operator="equal">
      <formula>"N/T"</formula>
    </cfRule>
    <cfRule type="cellIs" dxfId="58" priority="532" stopIfTrue="1" operator="equal">
      <formula>"N/A"</formula>
    </cfRule>
    <cfRule type="cellIs" dxfId="57" priority="531" stopIfTrue="1" operator="equal">
      <formula>"Falla"</formula>
    </cfRule>
    <cfRule type="cellIs" dxfId="56" priority="530" stopIfTrue="1" operator="equal">
      <formula>"Pasa"</formula>
    </cfRule>
    <cfRule type="expression" dxfId="55" priority="529" stopIfTrue="1">
      <formula>ISBLANK(D209)</formula>
    </cfRule>
    <cfRule type="cellIs" dxfId="54" priority="528" stopIfTrue="1" operator="equal">
      <formula>"N/D"</formula>
    </cfRule>
    <cfRule type="cellIs" dxfId="53" priority="527" stopIfTrue="1" operator="equal">
      <formula>"N/T"</formula>
    </cfRule>
    <cfRule type="cellIs" dxfId="52" priority="526" stopIfTrue="1" operator="equal">
      <formula>"N/A"</formula>
    </cfRule>
    <cfRule type="cellIs" dxfId="51" priority="525" stopIfTrue="1" operator="equal">
      <formula>"Falla"</formula>
    </cfRule>
    <cfRule type="expression" dxfId="50" priority="523" stopIfTrue="1">
      <formula>ISBLANK(D209)</formula>
    </cfRule>
    <cfRule type="cellIs" dxfId="49" priority="534" stopIfTrue="1" operator="equal">
      <formula>"N/D"</formula>
    </cfRule>
  </conditionalFormatting>
  <conditionalFormatting sqref="D210">
    <cfRule type="expression" dxfId="48" priority="1" stopIfTrue="1">
      <formula>ISBLANK(D210)</formula>
    </cfRule>
    <cfRule type="cellIs" dxfId="47" priority="2" stopIfTrue="1" operator="equal">
      <formula>"Pasa"</formula>
    </cfRule>
    <cfRule type="cellIs" dxfId="46" priority="3" stopIfTrue="1" operator="equal">
      <formula>"Falla"</formula>
    </cfRule>
    <cfRule type="cellIs" dxfId="45" priority="6" stopIfTrue="1" operator="equal">
      <formula>"N/D"</formula>
    </cfRule>
    <cfRule type="cellIs" dxfId="44" priority="5" stopIfTrue="1" operator="equal">
      <formula>"N/T"</formula>
    </cfRule>
    <cfRule type="cellIs" dxfId="43" priority="4" stopIfTrue="1" operator="equal">
      <formula>"N/A"</formula>
    </cfRule>
  </conditionalFormatting>
  <conditionalFormatting sqref="E19:E53 E57:E91 E95:E129 E133:E167 E171:E205 E209:E243">
    <cfRule type="cellIs" dxfId="42" priority="1352" stopIfTrue="1" operator="equal">
      <formula>"ERR"</formula>
    </cfRule>
  </conditionalFormatting>
  <conditionalFormatting sqref="F19:J19 D19:D53 F57:J57 D57:D91 F95:J95 D95:D129 F133:J133 D133:D167 F171:J171 D171:D205 F209:J209 D209:D243">
    <cfRule type="cellIs" dxfId="41" priority="1347" stopIfTrue="1" operator="equal">
      <formula>"Pasa"</formula>
    </cfRule>
    <cfRule type="cellIs" dxfId="40" priority="1348" stopIfTrue="1" operator="equal">
      <formula>"Falla"</formula>
    </cfRule>
    <cfRule type="cellIs" dxfId="39" priority="1349" stopIfTrue="1" operator="equal">
      <formula>"N/A"</formula>
    </cfRule>
    <cfRule type="cellIs" dxfId="38" priority="1350" stopIfTrue="1" operator="equal">
      <formula>"N/T"</formula>
    </cfRule>
    <cfRule type="cellIs" dxfId="37" priority="1351" stopIfTrue="1" operator="equal">
      <formula>"N/D"</formula>
    </cfRule>
  </conditionalFormatting>
  <conditionalFormatting sqref="K23:K24">
    <cfRule type="expression" dxfId="36" priority="121" stopIfTrue="1">
      <formula>ISBLANK(K23)</formula>
    </cfRule>
    <cfRule type="cellIs" dxfId="35" priority="126" stopIfTrue="1" operator="equal">
      <formula>"N/D"</formula>
    </cfRule>
    <cfRule type="cellIs" dxfId="34" priority="125" stopIfTrue="1" operator="equal">
      <formula>"N/T"</formula>
    </cfRule>
    <cfRule type="cellIs" dxfId="33" priority="124" stopIfTrue="1" operator="equal">
      <formula>"N/A"</formula>
    </cfRule>
    <cfRule type="cellIs" dxfId="32" priority="123" stopIfTrue="1" operator="equal">
      <formula>"Falla"</formula>
    </cfRule>
    <cfRule type="cellIs" dxfId="31" priority="12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G157" sqref="G157"/>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165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328</v>
      </c>
      <c r="C8" s="18"/>
      <c r="D8" s="79"/>
      <c r="E8" s="79"/>
      <c r="F8" s="18"/>
      <c r="G8" s="18"/>
      <c r="H8" s="18"/>
      <c r="I8" s="18"/>
      <c r="J8" s="18"/>
      <c r="K8" s="18"/>
      <c r="L8" s="18"/>
      <c r="M8" s="18"/>
      <c r="N8" s="18"/>
      <c r="O8" s="18"/>
    </row>
    <row r="9" spans="1:64" ht="30" customHeight="1">
      <c r="B9" s="231" t="s">
        <v>167</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168</v>
      </c>
      <c r="C11" s="230"/>
      <c r="D11" s="26"/>
      <c r="E11" s="14"/>
      <c r="F11" s="196" t="s">
        <v>169</v>
      </c>
      <c r="G11" s="105" t="s">
        <v>170</v>
      </c>
      <c r="H11" s="197" t="s">
        <v>171</v>
      </c>
      <c r="I11" s="22"/>
      <c r="J11" s="196" t="s">
        <v>172</v>
      </c>
      <c r="K11" s="105" t="s">
        <v>170</v>
      </c>
      <c r="L11" s="197" t="s">
        <v>171</v>
      </c>
      <c r="M11" s="18"/>
      <c r="N11" s="18"/>
      <c r="O11" s="18"/>
      <c r="P11" s="18"/>
      <c r="Q11" s="18"/>
      <c r="R11" s="18"/>
      <c r="U11" s="18"/>
      <c r="V11" s="18"/>
      <c r="W11" s="18"/>
      <c r="X11" s="18"/>
      <c r="Y11" s="18"/>
    </row>
    <row r="12" spans="1:64" ht="12" customHeight="1">
      <c r="B12" s="108" t="s">
        <v>173</v>
      </c>
      <c r="C12" s="198">
        <f>COUNTIF($B$18:$B$4000,B12)</f>
        <v>5</v>
      </c>
      <c r="D12" s="26"/>
      <c r="E12" s="14"/>
      <c r="F12" s="199" t="s">
        <v>174</v>
      </c>
      <c r="G12" s="72">
        <f ca="1">J20+J58+J96+J134+J172</f>
        <v>1</v>
      </c>
      <c r="H12" s="42">
        <f ca="1">IF(($G$15+$K$15)=0,0,G12/($G$15+$K$15))</f>
        <v>0.01</v>
      </c>
      <c r="I12" s="26"/>
      <c r="J12" s="183" t="s">
        <v>175</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176</v>
      </c>
      <c r="G13" s="72">
        <f ca="1">I20+I58+I96+I134+I172</f>
        <v>4</v>
      </c>
      <c r="H13" s="42">
        <f ca="1">IF(($G$15+$K$15)=0,0,G13/($G$15+$K$15))</f>
        <v>0.04</v>
      </c>
      <c r="I13" s="26"/>
      <c r="J13" s="183" t="s">
        <v>177</v>
      </c>
      <c r="K13" s="72">
        <f ca="1">F20+F58+F96+F134+F172</f>
        <v>0</v>
      </c>
      <c r="L13" s="42">
        <f ca="1">IF(($G$15+$K$15)=0,0,K13/($G$15+$K$15))</f>
        <v>0</v>
      </c>
      <c r="M13" s="18"/>
      <c r="N13" s="18"/>
      <c r="O13" s="18"/>
      <c r="P13" s="18"/>
      <c r="Q13" s="18"/>
      <c r="R13" s="18"/>
      <c r="U13" s="18"/>
      <c r="V13" s="18"/>
      <c r="W13" s="18"/>
      <c r="X13" s="18"/>
      <c r="Y13" s="18"/>
    </row>
    <row r="14" spans="1:64" ht="12" customHeight="1" thickBot="1">
      <c r="B14" s="200" t="s">
        <v>178</v>
      </c>
      <c r="C14" s="201">
        <f>C12+C13</f>
        <v>5</v>
      </c>
      <c r="D14" s="26"/>
      <c r="E14" s="14"/>
      <c r="F14" s="199" t="s">
        <v>179</v>
      </c>
      <c r="G14" s="72">
        <f ca="1">H20+H58+H96+H134+H172</f>
        <v>95</v>
      </c>
      <c r="H14" s="42">
        <f ca="1">IF(($G$15+$K$15)=0,0,G14/($G$15+$K$15))</f>
        <v>0.95</v>
      </c>
      <c r="I14" s="26"/>
      <c r="J14" s="183" t="s">
        <v>180</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178</v>
      </c>
      <c r="G15" s="203">
        <f ca="1">SUM(G12:G14)</f>
        <v>100</v>
      </c>
      <c r="H15" s="204">
        <f ca="1">SUM(H12:H14)</f>
        <v>1</v>
      </c>
      <c r="I15" s="26"/>
      <c r="J15" s="200" t="s">
        <v>178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181</v>
      </c>
      <c r="B18" s="23" t="s">
        <v>173</v>
      </c>
      <c r="C18" s="24" t="s">
        <v>329</v>
      </c>
      <c r="D18" s="25" t="s">
        <v>183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https://elecciones.comunidad.madrid/es</v>
      </c>
      <c r="D19" s="99" t="s">
        <v>184</v>
      </c>
      <c r="E19" s="79" t="str">
        <f t="shared" ref="E19:E53" si="0">IF(D19&lt;&gt;"",IF(AND(B19&lt;&gt;"",C19&lt;&gt;""),"","ERR"),"")</f>
        <v/>
      </c>
      <c r="F19" s="86" t="s">
        <v>185</v>
      </c>
      <c r="G19" s="87" t="s">
        <v>186</v>
      </c>
      <c r="H19" s="88" t="s">
        <v>184</v>
      </c>
      <c r="I19" s="89" t="s">
        <v>176</v>
      </c>
      <c r="J19" s="90" t="s">
        <v>174</v>
      </c>
      <c r="K19" s="179" t="s">
        <v>180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Resultado Elecciones 28M 2023</v>
      </c>
      <c r="C20" s="85" t="str" cm="1">
        <f t="array" ref="C20">IFERROR(INDEX('03.Muestra'!$F$8:$F$42,SMALL(IF("Página Web"='03.Muestra'!$D$8:$D$42,ROW('03.Muestra'!$F$8:$F$42)-MIN(ROW('03.Muestra'!$D$8:$D$42))+1,""),ROW()-18)),"")</f>
        <v>https://elecciones.comunidad.madrid/es/resultados-elecciones-asamblea-madrid-28m-2023</v>
      </c>
      <c r="D20" s="99" t="s">
        <v>184</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1</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Normativa electoral</v>
      </c>
      <c r="C21" s="85" t="str" cm="1">
        <f t="array" ref="C21">IFERROR(INDEX('03.Muestra'!$F$8:$F$42,SMALL(IF("Página Web"='03.Muestra'!$D$8:$D$42,ROW('03.Muestra'!$F$8:$F$42)-MIN(ROW('03.Muestra'!$D$8:$D$42))+1,""),ROW()-18)),"")</f>
        <v>https://elecciones.comunidad.madrid/es/informacion-electoral/normativa-electoral</v>
      </c>
      <c r="D21" s="99" t="s">
        <v>184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 electoral</v>
      </c>
      <c r="C22" s="85" t="str" cm="1">
        <f t="array" ref="C22">IFERROR(INDEX('03.Muestra'!$F$8:$F$42,SMALL(IF("Página Web"='03.Muestra'!$D$8:$D$42,ROW('03.Muestra'!$F$8:$F$42)-MIN(ROW('03.Muestra'!$D$8:$D$42))+1,""),ROW()-18)),"")</f>
        <v>https://elecciones.comunidad.madrid/es/informacion-electoral/calendario-electoral</v>
      </c>
      <c r="D22" s="99" t="s">
        <v>184</v>
      </c>
      <c r="E22" s="79" t="str">
        <f t="shared" si="0"/>
        <v/>
      </c>
      <c r="F22" s="18"/>
      <c r="G22" s="18"/>
      <c r="H22" s="18"/>
      <c r="I22" s="18"/>
      <c r="K22" s="170" t="s">
        <v>185</v>
      </c>
      <c r="L22" s="92" t="s">
        <v>187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Direcciones y teléfonos</v>
      </c>
      <c r="C23" s="85" t="str" cm="1">
        <f t="array" ref="C23">IFERROR(INDEX('03.Muestra'!$F$8:$F$42,SMALL(IF("Página Web"='03.Muestra'!$D$8:$D$42,ROW('03.Muestra'!$F$8:$F$42)-MIN(ROW('03.Muestra'!$D$8:$D$42))+1,""),ROW()-18)),"")</f>
        <v>https://elecciones.comunidad.madrid/es/juntas-electorales/direcciones-telefonos</v>
      </c>
      <c r="D23" s="99" t="s">
        <v>184</v>
      </c>
      <c r="E23" s="79" t="str">
        <f t="shared" si="0"/>
        <v/>
      </c>
      <c r="F23" s="78"/>
      <c r="G23" s="18"/>
      <c r="H23" s="18"/>
      <c r="I23" s="18"/>
      <c r="K23" s="88" t="s">
        <v>184</v>
      </c>
      <c r="L23" s="92" t="s">
        <v>188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Impresos electrónicos</v>
      </c>
      <c r="C24" s="85" t="str" cm="1">
        <f t="array" ref="C24">IFERROR(INDEX('03.Muestra'!$F$8:$F$42,SMALL(IF("Página Web"='03.Muestra'!$D$8:$D$42,ROW('03.Muestra'!$F$8:$F$42)-MIN(ROW('03.Muestra'!$D$8:$D$42))+1,""),ROW()-18)),"")</f>
        <v>https://elecciones.comunidad.madrid/es/formaciones-politicas/impresos-electronicos</v>
      </c>
      <c r="D24" s="99" t="s">
        <v>184</v>
      </c>
      <c r="E24" s="79" t="str">
        <f t="shared" si="0"/>
        <v/>
      </c>
      <c r="F24" s="18"/>
      <c r="G24" s="18"/>
      <c r="H24" s="18"/>
      <c r="I24" s="18"/>
      <c r="K24" s="87" t="s">
        <v>186</v>
      </c>
      <c r="L24" s="92" t="s">
        <v>189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Listado de candidaturas</v>
      </c>
      <c r="C25" s="85" t="str" cm="1">
        <f t="array" ref="C25">IFERROR(INDEX('03.Muestra'!$F$8:$F$42,SMALL(IF("Página Web"='03.Muestra'!$D$8:$D$42,ROW('03.Muestra'!$F$8:$F$42)-MIN(ROW('03.Muestra'!$D$8:$D$42))+1,""),ROW()-18)),"")</f>
        <v>https://elecciones.comunidad.madrid/es/formaciones-politicas/listado-candidaturas-proclamadas</v>
      </c>
      <c r="D25" s="99" t="s">
        <v>184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Partido Feminista de España</v>
      </c>
      <c r="C26" s="85" t="str" cm="1">
        <f t="array" ref="C26">IFERROR(INDEX('03.Muestra'!$F$8:$F$42,SMALL(IF("Página Web"='03.Muestra'!$D$8:$D$42,ROW('03.Muestra'!$F$8:$F$42)-MIN(ROW('03.Muestra'!$D$8:$D$42))+1,""),ROW()-18)),"")</f>
        <v>https://elecciones.comunidad.madrid/es/formaciones-politicas/listado-candidaturas/partido-feminista-espana</v>
      </c>
      <c r="D26" s="99" t="s">
        <v>184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¿Dónde voto?</v>
      </c>
      <c r="C27" s="85" t="str" cm="1">
        <f t="array" ref="C27">IFERROR(INDEX('03.Muestra'!$F$8:$F$42,SMALL(IF("Página Web"='03.Muestra'!$D$8:$D$42,ROW('03.Muestra'!$F$8:$F$42)-MIN(ROW('03.Muestra'!$D$8:$D$42))+1,""),ROW()-18)),"")</f>
        <v>https://elecciones.comunidad.madrid/es/votar/donde-voto</v>
      </c>
      <c r="D27" s="99" t="s">
        <v>184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Voto presencial</v>
      </c>
      <c r="C28" s="85" t="str" cm="1">
        <f t="array" ref="C28">IFERROR(INDEX('03.Muestra'!$F$8:$F$42,SMALL(IF("Página Web"='03.Muestra'!$D$8:$D$42,ROW('03.Muestra'!$F$8:$F$42)-MIN(ROW('03.Muestra'!$D$8:$D$42))+1,""),ROW()-18)),"")</f>
        <v>https://elecciones.comunidad.madrid/es/voto-local-electoral/voto-presencial</v>
      </c>
      <c r="D28" s="99" t="s">
        <v>184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Ciudadanos temporalmente en el extranjero</v>
      </c>
      <c r="C29" s="85" t="str" cm="1">
        <f t="array" ref="C29">IFERROR(INDEX('03.Muestra'!$F$8:$F$42,SMALL(IF("Página Web"='03.Muestra'!$D$8:$D$42,ROW('03.Muestra'!$F$8:$F$42)-MIN(ROW('03.Muestra'!$D$8:$D$42))+1,""),ROW()-18)),"")</f>
        <v>https://elecciones.comunidad.madrid/es/voto-correo/solicitud-voto-temporalmente-ausentes</v>
      </c>
      <c r="D29" s="99" t="s">
        <v>184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Nuevo votante</v>
      </c>
      <c r="C30" s="85" t="str" cm="1">
        <f t="array" ref="C30">IFERROR(INDEX('03.Muestra'!$F$8:$F$42,SMALL(IF("Página Web"='03.Muestra'!$D$8:$D$42,ROW('03.Muestra'!$F$8:$F$42)-MIN(ROW('03.Muestra'!$D$8:$D$42))+1,""),ROW()-18)),"")</f>
        <v>https://elecciones.comunidad.madrid/es/votar/nuevo-votante</v>
      </c>
      <c r="D30" s="99" t="s">
        <v>184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Simulación método D'Hondt</v>
      </c>
      <c r="C31" s="85" t="str" cm="1">
        <f t="array" ref="C31">IFERROR(INDEX('03.Muestra'!$F$8:$F$42,SMALL(IF("Página Web"='03.Muestra'!$D$8:$D$42,ROW('03.Muestra'!$F$8:$F$42)-MIN(ROW('03.Muestra'!$D$8:$D$42))+1,""),ROW()-18)),"")</f>
        <v>https://elecciones.comunidad.madrid/es/informacion-util/simulacion-metodo-dhondt</v>
      </c>
      <c r="D31" s="99" t="s">
        <v>184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Ley D'Hondt</v>
      </c>
      <c r="C32" s="85" t="str" cm="1">
        <f t="array" ref="C32">IFERROR(INDEX('03.Muestra'!$F$8:$F$42,SMALL(IF("Página Web"='03.Muestra'!$D$8:$D$42,ROW('03.Muestra'!$F$8:$F$42)-MIN(ROW('03.Muestra'!$D$8:$D$42))+1,""),ROW()-18)),"")</f>
        <v>https://elecciones.comunidad.madrid/es/resultados/ley_d_hondt</v>
      </c>
      <c r="D32" s="99" t="s">
        <v>184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Voto por correo elector CERA en España</v>
      </c>
      <c r="C33" s="85" t="str" cm="1">
        <f t="array" ref="C33">IFERROR(INDEX('03.Muestra'!$F$8:$F$42,SMALL(IF("Página Web"='03.Muestra'!$D$8:$D$42,ROW('03.Muestra'!$F$8:$F$42)-MIN(ROW('03.Muestra'!$D$8:$D$42))+1,""),ROW()-18)),"")</f>
        <v>https://elecciones.comunidad.madrid/es/preguntas-frecuentes/voto-correo-electores-residentes-extranjero</v>
      </c>
      <c r="D33" s="99" t="s">
        <v>184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https://elecciones.comunidad.madrid/es/buzon-de-sugerencias</v>
      </c>
      <c r="D34" s="99" t="s">
        <v>184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https://elecciones.comunidad.madrid/es/search?search_api_fulltext=partido</v>
      </c>
      <c r="D35" s="99" t="s">
        <v>184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Legal-Privacidad</v>
      </c>
      <c r="C36" s="85" t="str" cm="1">
        <f t="array" ref="C36">IFERROR(INDEX('03.Muestra'!$F$8:$F$42,SMALL(IF("Página Web"='03.Muestra'!$D$8:$D$42,ROW('03.Muestra'!$F$8:$F$42)-MIN(ROW('03.Muestra'!$D$8:$D$42))+1,""),ROW()-18)),"")</f>
        <v>https://elecciones.comunidad.madrid/es/aviso-legal</v>
      </c>
      <c r="D36" s="99" t="s">
        <v>184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https://elecciones.comunidad.madrid/es/sitemap</v>
      </c>
      <c r="D37" s="99" t="s">
        <v>184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Declaracion Accesibilidad</v>
      </c>
      <c r="C38" s="85" t="str" cm="1">
        <f t="array" ref="C38">IFERROR(INDEX('03.Muestra'!$F$8:$F$42,SMALL(IF("Página Web"='03.Muestra'!$D$8:$D$42,ROW('03.Muestra'!$F$8:$F$42)-MIN(ROW('03.Muestra'!$D$8:$D$42))+1,""),ROW()-18)),"")</f>
        <v>https://elecciones.comunidad.madrid/es/accesibilidad</v>
      </c>
      <c r="D38" s="99" t="s">
        <v>176</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181</v>
      </c>
      <c r="B56" s="23" t="s">
        <v>173</v>
      </c>
      <c r="C56" s="24" t="s">
        <v>330</v>
      </c>
      <c r="D56" s="25" t="s">
        <v>183</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https://elecciones.comunidad.madrid/es</v>
      </c>
      <c r="D57" s="99" t="s">
        <v>184</v>
      </c>
      <c r="E57" s="79" t="str">
        <f t="shared" ref="E57:E91" si="2">IF(D57&lt;&gt;"",IF(AND(B57&lt;&gt;"",C57&lt;&gt;""),"","ERR"),"")</f>
        <v/>
      </c>
      <c r="F57" s="86" t="s">
        <v>185</v>
      </c>
      <c r="G57" s="87" t="s">
        <v>186</v>
      </c>
      <c r="H57" s="88" t="s">
        <v>184</v>
      </c>
      <c r="I57" s="89" t="s">
        <v>176</v>
      </c>
      <c r="J57" s="90" t="s">
        <v>174</v>
      </c>
      <c r="K57" s="179" t="s">
        <v>180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Resultado Elecciones 28M 2023</v>
      </c>
      <c r="C58" s="85" t="str" cm="1">
        <f t="array" ref="C58">IFERROR(INDEX('03.Muestra'!$F$8:$F$42,SMALL(IF("Página Web"='03.Muestra'!$D$8:$D$42,ROW('03.Muestra'!$F$8:$F$42)-MIN(ROW('03.Muestra'!$D$8:$D$42))+1,""),ROW()-56)),"")</f>
        <v>https://elecciones.comunidad.madrid/es/resultados-elecciones-asamblea-madrid-28m-2023</v>
      </c>
      <c r="D58" s="99" t="s">
        <v>184</v>
      </c>
      <c r="E58" s="79" t="str">
        <f t="shared" si="2"/>
        <v/>
      </c>
      <c r="F58" s="91">
        <f ca="1">COUNTIF($D57:INDIRECT("$D" &amp;  SUM(ROW()-1,'03.Muestra'!$D$45)-1),F57)</f>
        <v>0</v>
      </c>
      <c r="G58" s="91">
        <f ca="1">COUNTIF($D57:INDIRECT("$D" &amp;  SUM(ROW()-1,'03.Muestra'!$D$45)-1),G57)</f>
        <v>0</v>
      </c>
      <c r="H58" s="91">
        <f ca="1">COUNTIF($D57:INDIRECT("$D" &amp;  SUM(ROW()-1,'03.Muestra'!$D$45)-1),H57)</f>
        <v>19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Normativa electoral</v>
      </c>
      <c r="C59" s="85" t="str" cm="1">
        <f t="array" ref="C59">IFERROR(INDEX('03.Muestra'!$F$8:$F$42,SMALL(IF("Página Web"='03.Muestra'!$D$8:$D$42,ROW('03.Muestra'!$F$8:$F$42)-MIN(ROW('03.Muestra'!$D$8:$D$42))+1,""),ROW()-56)),"")</f>
        <v>https://elecciones.comunidad.madrid/es/informacion-electoral/normativa-electoral</v>
      </c>
      <c r="D59" s="99" t="s">
        <v>184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 electoral</v>
      </c>
      <c r="C60" s="85" t="str" cm="1">
        <f t="array" ref="C60">IFERROR(INDEX('03.Muestra'!$F$8:$F$42,SMALL(IF("Página Web"='03.Muestra'!$D$8:$D$42,ROW('03.Muestra'!$F$8:$F$42)-MIN(ROW('03.Muestra'!$D$8:$D$42))+1,""),ROW()-56)),"")</f>
        <v>https://elecciones.comunidad.madrid/es/informacion-electoral/calendario-electoral</v>
      </c>
      <c r="D60" s="99" t="s">
        <v>184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Direcciones y teléfonos</v>
      </c>
      <c r="C61" s="85" t="str" cm="1">
        <f t="array" ref="C61">IFERROR(INDEX('03.Muestra'!$F$8:$F$42,SMALL(IF("Página Web"='03.Muestra'!$D$8:$D$42,ROW('03.Muestra'!$F$8:$F$42)-MIN(ROW('03.Muestra'!$D$8:$D$42))+1,""),ROW()-56)),"")</f>
        <v>https://elecciones.comunidad.madrid/es/juntas-electorales/direcciones-telefonos</v>
      </c>
      <c r="D61" s="99" t="s">
        <v>184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Impresos electrónicos</v>
      </c>
      <c r="C62" s="85" t="str" cm="1">
        <f t="array" ref="C62">IFERROR(INDEX('03.Muestra'!$F$8:$F$42,SMALL(IF("Página Web"='03.Muestra'!$D$8:$D$42,ROW('03.Muestra'!$F$8:$F$42)-MIN(ROW('03.Muestra'!$D$8:$D$42))+1,""),ROW()-56)),"")</f>
        <v>https://elecciones.comunidad.madrid/es/formaciones-politicas/impresos-electronicos</v>
      </c>
      <c r="D62" s="99" t="s">
        <v>184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Listado de candidaturas</v>
      </c>
      <c r="C63" s="85" t="str" cm="1">
        <f t="array" ref="C63">IFERROR(INDEX('03.Muestra'!$F$8:$F$42,SMALL(IF("Página Web"='03.Muestra'!$D$8:$D$42,ROW('03.Muestra'!$F$8:$F$42)-MIN(ROW('03.Muestra'!$D$8:$D$42))+1,""),ROW()-56)),"")</f>
        <v>https://elecciones.comunidad.madrid/es/formaciones-politicas/listado-candidaturas-proclamadas</v>
      </c>
      <c r="D63" s="99" t="s">
        <v>184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Partido Feminista de España</v>
      </c>
      <c r="C64" s="85" t="str" cm="1">
        <f t="array" ref="C64">IFERROR(INDEX('03.Muestra'!$F$8:$F$42,SMALL(IF("Página Web"='03.Muestra'!$D$8:$D$42,ROW('03.Muestra'!$F$8:$F$42)-MIN(ROW('03.Muestra'!$D$8:$D$42))+1,""),ROW()-56)),"")</f>
        <v>https://elecciones.comunidad.madrid/es/formaciones-politicas/listado-candidaturas/partido-feminista-espana</v>
      </c>
      <c r="D64" s="99" t="s">
        <v>184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¿Dónde voto?</v>
      </c>
      <c r="C65" s="85" t="str" cm="1">
        <f t="array" ref="C65">IFERROR(INDEX('03.Muestra'!$F$8:$F$42,SMALL(IF("Página Web"='03.Muestra'!$D$8:$D$42,ROW('03.Muestra'!$F$8:$F$42)-MIN(ROW('03.Muestra'!$D$8:$D$42))+1,""),ROW()-56)),"")</f>
        <v>https://elecciones.comunidad.madrid/es/votar/donde-voto</v>
      </c>
      <c r="D65" s="99" t="s">
        <v>184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Voto presencial</v>
      </c>
      <c r="C66" s="85" t="str" cm="1">
        <f t="array" ref="C66">IFERROR(INDEX('03.Muestra'!$F$8:$F$42,SMALL(IF("Página Web"='03.Muestra'!$D$8:$D$42,ROW('03.Muestra'!$F$8:$F$42)-MIN(ROW('03.Muestra'!$D$8:$D$42))+1,""),ROW()-56)),"")</f>
        <v>https://elecciones.comunidad.madrid/es/voto-local-electoral/voto-presencial</v>
      </c>
      <c r="D66" s="99" t="s">
        <v>184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Ciudadanos temporalmente en el extranjero</v>
      </c>
      <c r="C67" s="85" t="str" cm="1">
        <f t="array" ref="C67">IFERROR(INDEX('03.Muestra'!$F$8:$F$42,SMALL(IF("Página Web"='03.Muestra'!$D$8:$D$42,ROW('03.Muestra'!$F$8:$F$42)-MIN(ROW('03.Muestra'!$D$8:$D$42))+1,""),ROW()-56)),"")</f>
        <v>https://elecciones.comunidad.madrid/es/voto-correo/solicitud-voto-temporalmente-ausentes</v>
      </c>
      <c r="D67" s="99" t="s">
        <v>184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Nuevo votante</v>
      </c>
      <c r="C68" s="85" t="str" cm="1">
        <f t="array" ref="C68">IFERROR(INDEX('03.Muestra'!$F$8:$F$42,SMALL(IF("Página Web"='03.Muestra'!$D$8:$D$42,ROW('03.Muestra'!$F$8:$F$42)-MIN(ROW('03.Muestra'!$D$8:$D$42))+1,""),ROW()-56)),"")</f>
        <v>https://elecciones.comunidad.madrid/es/votar/nuevo-votante</v>
      </c>
      <c r="D68" s="99" t="s">
        <v>184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Simulación método D'Hondt</v>
      </c>
      <c r="C69" s="85" t="str" cm="1">
        <f t="array" ref="C69">IFERROR(INDEX('03.Muestra'!$F$8:$F$42,SMALL(IF("Página Web"='03.Muestra'!$D$8:$D$42,ROW('03.Muestra'!$F$8:$F$42)-MIN(ROW('03.Muestra'!$D$8:$D$42))+1,""),ROW()-56)),"")</f>
        <v>https://elecciones.comunidad.madrid/es/informacion-util/simulacion-metodo-dhondt</v>
      </c>
      <c r="D69" s="99" t="s">
        <v>184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Ley D'Hondt</v>
      </c>
      <c r="C70" s="85" t="str" cm="1">
        <f t="array" ref="C70">IFERROR(INDEX('03.Muestra'!$F$8:$F$42,SMALL(IF("Página Web"='03.Muestra'!$D$8:$D$42,ROW('03.Muestra'!$F$8:$F$42)-MIN(ROW('03.Muestra'!$D$8:$D$42))+1,""),ROW()-56)),"")</f>
        <v>https://elecciones.comunidad.madrid/es/resultados/ley_d_hondt</v>
      </c>
      <c r="D70" s="99" t="s">
        <v>184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Voto por correo elector CERA en España</v>
      </c>
      <c r="C71" s="85" t="str" cm="1">
        <f t="array" ref="C71">IFERROR(INDEX('03.Muestra'!$F$8:$F$42,SMALL(IF("Página Web"='03.Muestra'!$D$8:$D$42,ROW('03.Muestra'!$F$8:$F$42)-MIN(ROW('03.Muestra'!$D$8:$D$42))+1,""),ROW()-56)),"")</f>
        <v>https://elecciones.comunidad.madrid/es/preguntas-frecuentes/voto-correo-electores-residentes-extranjero</v>
      </c>
      <c r="D71" s="99" t="s">
        <v>184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https://elecciones.comunidad.madrid/es/buzon-de-sugerencias</v>
      </c>
      <c r="D72" s="99" t="s">
        <v>184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https://elecciones.comunidad.madrid/es/search?search_api_fulltext=partido</v>
      </c>
      <c r="D73" s="99" t="s">
        <v>184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Legal-Privacidad</v>
      </c>
      <c r="C74" s="85" t="str" cm="1">
        <f t="array" ref="C74">IFERROR(INDEX('03.Muestra'!$F$8:$F$42,SMALL(IF("Página Web"='03.Muestra'!$D$8:$D$42,ROW('03.Muestra'!$F$8:$F$42)-MIN(ROW('03.Muestra'!$D$8:$D$42))+1,""),ROW()-56)),"")</f>
        <v>https://elecciones.comunidad.madrid/es/aviso-legal</v>
      </c>
      <c r="D74" s="99" t="s">
        <v>184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https://elecciones.comunidad.madrid/es/sitemap</v>
      </c>
      <c r="D75" s="99" t="s">
        <v>184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Declaracion Accesibilidad</v>
      </c>
      <c r="C76" s="85" t="str" cm="1">
        <f t="array" ref="C76">IFERROR(INDEX('03.Muestra'!$F$8:$F$42,SMALL(IF("Página Web"='03.Muestra'!$D$8:$D$42,ROW('03.Muestra'!$F$8:$F$42)-MIN(ROW('03.Muestra'!$D$8:$D$42))+1,""),ROW()-56)),"")</f>
        <v>https://elecciones.comunidad.madrid/es/accesibilidad</v>
      </c>
      <c r="D76" s="99" t="s">
        <v>176</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181</v>
      </c>
      <c r="B94" s="23" t="s">
        <v>173</v>
      </c>
      <c r="C94" s="24" t="s">
        <v>331</v>
      </c>
      <c r="D94" s="25" t="s">
        <v>183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https://elecciones.comunidad.madrid/es</v>
      </c>
      <c r="D95" s="99" t="s">
        <v>184</v>
      </c>
      <c r="E95" s="79" t="str">
        <f t="shared" ref="E95:E129" si="4">IF(D95&lt;&gt;"",IF(AND(B95&lt;&gt;"",C95&lt;&gt;""),"","ERR"),"")</f>
        <v/>
      </c>
      <c r="F95" s="86" t="s">
        <v>185</v>
      </c>
      <c r="G95" s="87" t="s">
        <v>186</v>
      </c>
      <c r="H95" s="88" t="s">
        <v>184</v>
      </c>
      <c r="I95" s="89" t="s">
        <v>176</v>
      </c>
      <c r="J95" s="90" t="s">
        <v>174</v>
      </c>
      <c r="K95" s="179" t="s">
        <v>180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Resultado Elecciones 28M 2023</v>
      </c>
      <c r="C96" s="85" t="str" cm="1">
        <f t="array" ref="C96">IFERROR(INDEX('03.Muestra'!$F$8:$F$42,SMALL(IF("Página Web"='03.Muestra'!$D$8:$D$42,ROW('03.Muestra'!$F$8:$F$42)-MIN(ROW('03.Muestra'!$D$8:$D$42))+1,""),ROW()-94)),"")</f>
        <v>https://elecciones.comunidad.madrid/es/resultados-elecciones-asamblea-madrid-28m-2023</v>
      </c>
      <c r="D96" s="99" t="s">
        <v>184</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Normativa electoral</v>
      </c>
      <c r="C97" s="85" t="str" cm="1">
        <f t="array" ref="C97">IFERROR(INDEX('03.Muestra'!$F$8:$F$42,SMALL(IF("Página Web"='03.Muestra'!$D$8:$D$42,ROW('03.Muestra'!$F$8:$F$42)-MIN(ROW('03.Muestra'!$D$8:$D$42))+1,""),ROW()-94)),"")</f>
        <v>https://elecciones.comunidad.madrid/es/informacion-electoral/normativa-electoral</v>
      </c>
      <c r="D97" s="99" t="s">
        <v>184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 electoral</v>
      </c>
      <c r="C98" s="85" t="str" cm="1">
        <f t="array" ref="C98">IFERROR(INDEX('03.Muestra'!$F$8:$F$42,SMALL(IF("Página Web"='03.Muestra'!$D$8:$D$42,ROW('03.Muestra'!$F$8:$F$42)-MIN(ROW('03.Muestra'!$D$8:$D$42))+1,""),ROW()-94)),"")</f>
        <v>https://elecciones.comunidad.madrid/es/informacion-electoral/calendario-electoral</v>
      </c>
      <c r="D98" s="99" t="s">
        <v>184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Direcciones y teléfonos</v>
      </c>
      <c r="C99" s="85" t="str" cm="1">
        <f t="array" ref="C99">IFERROR(INDEX('03.Muestra'!$F$8:$F$42,SMALL(IF("Página Web"='03.Muestra'!$D$8:$D$42,ROW('03.Muestra'!$F$8:$F$42)-MIN(ROW('03.Muestra'!$D$8:$D$42))+1,""),ROW()-94)),"")</f>
        <v>https://elecciones.comunidad.madrid/es/juntas-electorales/direcciones-telefonos</v>
      </c>
      <c r="D99" s="99" t="s">
        <v>184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Impresos electrónicos</v>
      </c>
      <c r="C100" s="85" t="str" cm="1">
        <f t="array" ref="C100">IFERROR(INDEX('03.Muestra'!$F$8:$F$42,SMALL(IF("Página Web"='03.Muestra'!$D$8:$D$42,ROW('03.Muestra'!$F$8:$F$42)-MIN(ROW('03.Muestra'!$D$8:$D$42))+1,""),ROW()-94)),"")</f>
        <v>https://elecciones.comunidad.madrid/es/formaciones-politicas/impresos-electronicos</v>
      </c>
      <c r="D100" s="99" t="s">
        <v>184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Listado de candidaturas</v>
      </c>
      <c r="C101" s="85" t="str" cm="1">
        <f t="array" ref="C101">IFERROR(INDEX('03.Muestra'!$F$8:$F$42,SMALL(IF("Página Web"='03.Muestra'!$D$8:$D$42,ROW('03.Muestra'!$F$8:$F$42)-MIN(ROW('03.Muestra'!$D$8:$D$42))+1,""),ROW()-94)),"")</f>
        <v>https://elecciones.comunidad.madrid/es/formaciones-politicas/listado-candidaturas-proclamadas</v>
      </c>
      <c r="D101" s="99" t="s">
        <v>184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Partido Feminista de España</v>
      </c>
      <c r="C102" s="85" t="str" cm="1">
        <f t="array" ref="C102">IFERROR(INDEX('03.Muestra'!$F$8:$F$42,SMALL(IF("Página Web"='03.Muestra'!$D$8:$D$42,ROW('03.Muestra'!$F$8:$F$42)-MIN(ROW('03.Muestra'!$D$8:$D$42))+1,""),ROW()-94)),"")</f>
        <v>https://elecciones.comunidad.madrid/es/formaciones-politicas/listado-candidaturas/partido-feminista-espana</v>
      </c>
      <c r="D102" s="99" t="s">
        <v>184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¿Dónde voto?</v>
      </c>
      <c r="C103" s="85" t="str" cm="1">
        <f t="array" ref="C103">IFERROR(INDEX('03.Muestra'!$F$8:$F$42,SMALL(IF("Página Web"='03.Muestra'!$D$8:$D$42,ROW('03.Muestra'!$F$8:$F$42)-MIN(ROW('03.Muestra'!$D$8:$D$42))+1,""),ROW()-94)),"")</f>
        <v>https://elecciones.comunidad.madrid/es/votar/donde-voto</v>
      </c>
      <c r="D103" s="99" t="s">
        <v>184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Voto presencial</v>
      </c>
      <c r="C104" s="85" t="str" cm="1">
        <f t="array" ref="C104">IFERROR(INDEX('03.Muestra'!$F$8:$F$42,SMALL(IF("Página Web"='03.Muestra'!$D$8:$D$42,ROW('03.Muestra'!$F$8:$F$42)-MIN(ROW('03.Muestra'!$D$8:$D$42))+1,""),ROW()-94)),"")</f>
        <v>https://elecciones.comunidad.madrid/es/voto-local-electoral/voto-presencial</v>
      </c>
      <c r="D104" s="99" t="s">
        <v>184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Ciudadanos temporalmente en el extranjero</v>
      </c>
      <c r="C105" s="85" t="str" cm="1">
        <f t="array" ref="C105">IFERROR(INDEX('03.Muestra'!$F$8:$F$42,SMALL(IF("Página Web"='03.Muestra'!$D$8:$D$42,ROW('03.Muestra'!$F$8:$F$42)-MIN(ROW('03.Muestra'!$D$8:$D$42))+1,""),ROW()-94)),"")</f>
        <v>https://elecciones.comunidad.madrid/es/voto-correo/solicitud-voto-temporalmente-ausentes</v>
      </c>
      <c r="D105" s="99" t="s">
        <v>184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Nuevo votante</v>
      </c>
      <c r="C106" s="85" t="str" cm="1">
        <f t="array" ref="C106">IFERROR(INDEX('03.Muestra'!$F$8:$F$42,SMALL(IF("Página Web"='03.Muestra'!$D$8:$D$42,ROW('03.Muestra'!$F$8:$F$42)-MIN(ROW('03.Muestra'!$D$8:$D$42))+1,""),ROW()-94)),"")</f>
        <v>https://elecciones.comunidad.madrid/es/votar/nuevo-votante</v>
      </c>
      <c r="D106" s="99" t="s">
        <v>184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Simulación método D'Hondt</v>
      </c>
      <c r="C107" s="85" t="str" cm="1">
        <f t="array" ref="C107">IFERROR(INDEX('03.Muestra'!$F$8:$F$42,SMALL(IF("Página Web"='03.Muestra'!$D$8:$D$42,ROW('03.Muestra'!$F$8:$F$42)-MIN(ROW('03.Muestra'!$D$8:$D$42))+1,""),ROW()-94)),"")</f>
        <v>https://elecciones.comunidad.madrid/es/informacion-util/simulacion-metodo-dhondt</v>
      </c>
      <c r="D107" s="99" t="s">
        <v>184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Ley D'Hondt</v>
      </c>
      <c r="C108" s="85" t="str" cm="1">
        <f t="array" ref="C108">IFERROR(INDEX('03.Muestra'!$F$8:$F$42,SMALL(IF("Página Web"='03.Muestra'!$D$8:$D$42,ROW('03.Muestra'!$F$8:$F$42)-MIN(ROW('03.Muestra'!$D$8:$D$42))+1,""),ROW()-94)),"")</f>
        <v>https://elecciones.comunidad.madrid/es/resultados/ley_d_hondt</v>
      </c>
      <c r="D108" s="99" t="s">
        <v>184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Voto por correo elector CERA en España</v>
      </c>
      <c r="C109" s="85" t="str" cm="1">
        <f t="array" ref="C109">IFERROR(INDEX('03.Muestra'!$F$8:$F$42,SMALL(IF("Página Web"='03.Muestra'!$D$8:$D$42,ROW('03.Muestra'!$F$8:$F$42)-MIN(ROW('03.Muestra'!$D$8:$D$42))+1,""),ROW()-94)),"")</f>
        <v>https://elecciones.comunidad.madrid/es/preguntas-frecuentes/voto-correo-electores-residentes-extranjero</v>
      </c>
      <c r="D109" s="99" t="s">
        <v>184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https://elecciones.comunidad.madrid/es/buzon-de-sugerencias</v>
      </c>
      <c r="D110" s="99" t="s">
        <v>184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https://elecciones.comunidad.madrid/es/search?search_api_fulltext=partido</v>
      </c>
      <c r="D111" s="99" t="s">
        <v>184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Legal-Privacidad</v>
      </c>
      <c r="C112" s="85" t="str" cm="1">
        <f t="array" ref="C112">IFERROR(INDEX('03.Muestra'!$F$8:$F$42,SMALL(IF("Página Web"='03.Muestra'!$D$8:$D$42,ROW('03.Muestra'!$F$8:$F$42)-MIN(ROW('03.Muestra'!$D$8:$D$42))+1,""),ROW()-94)),"")</f>
        <v>https://elecciones.comunidad.madrid/es/aviso-legal</v>
      </c>
      <c r="D112" s="99" t="s">
        <v>184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https://elecciones.comunidad.madrid/es/sitemap</v>
      </c>
      <c r="D113" s="99" t="s">
        <v>184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Declaracion Accesibilidad</v>
      </c>
      <c r="C114" s="85" t="str" cm="1">
        <f t="array" ref="C114">IFERROR(INDEX('03.Muestra'!$F$8:$F$42,SMALL(IF("Página Web"='03.Muestra'!$D$8:$D$42,ROW('03.Muestra'!$F$8:$F$42)-MIN(ROW('03.Muestra'!$D$8:$D$42))+1,""),ROW()-94)),"")</f>
        <v>https://elecciones.comunidad.madrid/es/accesibilidad</v>
      </c>
      <c r="D114" s="99" t="s">
        <v>176</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181</v>
      </c>
      <c r="B132" s="23" t="s">
        <v>173</v>
      </c>
      <c r="C132" s="24" t="s">
        <v>332</v>
      </c>
      <c r="D132" s="25" t="s">
        <v>183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https://elecciones.comunidad.madrid/es</v>
      </c>
      <c r="D133" s="99" t="s">
        <v>184</v>
      </c>
      <c r="E133" s="79" t="str">
        <f t="shared" ref="E133:E167" si="6">IF(D133&lt;&gt;"",IF(AND(B133&lt;&gt;"",C133&lt;&gt;""),"","ERR"),"")</f>
        <v/>
      </c>
      <c r="F133" s="86" t="s">
        <v>185</v>
      </c>
      <c r="G133" s="87" t="s">
        <v>186</v>
      </c>
      <c r="H133" s="88" t="s">
        <v>184</v>
      </c>
      <c r="I133" s="89" t="s">
        <v>176</v>
      </c>
      <c r="J133" s="90" t="s">
        <v>174</v>
      </c>
      <c r="K133" s="179" t="s">
        <v>180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Resultado Elecciones 28M 2023</v>
      </c>
      <c r="C134" s="85" t="str" cm="1">
        <f t="array" ref="C134">IFERROR(INDEX('03.Muestra'!$F$8:$F$42,SMALL(IF("Página Web"='03.Muestra'!$D$8:$D$42,ROW('03.Muestra'!$F$8:$F$42)-MIN(ROW('03.Muestra'!$D$8:$D$42))+1,""),ROW()-132)),"")</f>
        <v>https://elecciones.comunidad.madrid/es/resultados-elecciones-asamblea-madrid-28m-2023</v>
      </c>
      <c r="D134" s="99" t="s">
        <v>184</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Normativa electoral</v>
      </c>
      <c r="C135" s="85" t="str" cm="1">
        <f t="array" ref="C135">IFERROR(INDEX('03.Muestra'!$F$8:$F$42,SMALL(IF("Página Web"='03.Muestra'!$D$8:$D$42,ROW('03.Muestra'!$F$8:$F$42)-MIN(ROW('03.Muestra'!$D$8:$D$42))+1,""),ROW()-132)),"")</f>
        <v>https://elecciones.comunidad.madrid/es/informacion-electoral/normativa-electoral</v>
      </c>
      <c r="D135" s="99" t="s">
        <v>184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 electoral</v>
      </c>
      <c r="C136" s="85" t="str" cm="1">
        <f t="array" ref="C136">IFERROR(INDEX('03.Muestra'!$F$8:$F$42,SMALL(IF("Página Web"='03.Muestra'!$D$8:$D$42,ROW('03.Muestra'!$F$8:$F$42)-MIN(ROW('03.Muestra'!$D$8:$D$42))+1,""),ROW()-132)),"")</f>
        <v>https://elecciones.comunidad.madrid/es/informacion-electoral/calendario-electoral</v>
      </c>
      <c r="D136" s="99" t="s">
        <v>184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Direcciones y teléfonos</v>
      </c>
      <c r="C137" s="85" t="str" cm="1">
        <f t="array" ref="C137">IFERROR(INDEX('03.Muestra'!$F$8:$F$42,SMALL(IF("Página Web"='03.Muestra'!$D$8:$D$42,ROW('03.Muestra'!$F$8:$F$42)-MIN(ROW('03.Muestra'!$D$8:$D$42))+1,""),ROW()-132)),"")</f>
        <v>https://elecciones.comunidad.madrid/es/juntas-electorales/direcciones-telefonos</v>
      </c>
      <c r="D137" s="99" t="s">
        <v>184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Impresos electrónicos</v>
      </c>
      <c r="C138" s="85" t="str" cm="1">
        <f t="array" ref="C138">IFERROR(INDEX('03.Muestra'!$F$8:$F$42,SMALL(IF("Página Web"='03.Muestra'!$D$8:$D$42,ROW('03.Muestra'!$F$8:$F$42)-MIN(ROW('03.Muestra'!$D$8:$D$42))+1,""),ROW()-132)),"")</f>
        <v>https://elecciones.comunidad.madrid/es/formaciones-politicas/impresos-electronicos</v>
      </c>
      <c r="D138" s="99" t="s">
        <v>184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Listado de candidaturas</v>
      </c>
      <c r="C139" s="85" t="str" cm="1">
        <f t="array" ref="C139">IFERROR(INDEX('03.Muestra'!$F$8:$F$42,SMALL(IF("Página Web"='03.Muestra'!$D$8:$D$42,ROW('03.Muestra'!$F$8:$F$42)-MIN(ROW('03.Muestra'!$D$8:$D$42))+1,""),ROW()-132)),"")</f>
        <v>https://elecciones.comunidad.madrid/es/formaciones-politicas/listado-candidaturas-proclamadas</v>
      </c>
      <c r="D139" s="99" t="s">
        <v>184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Partido Feminista de España</v>
      </c>
      <c r="C140" s="85" t="str" cm="1">
        <f t="array" ref="C140">IFERROR(INDEX('03.Muestra'!$F$8:$F$42,SMALL(IF("Página Web"='03.Muestra'!$D$8:$D$42,ROW('03.Muestra'!$F$8:$F$42)-MIN(ROW('03.Muestra'!$D$8:$D$42))+1,""),ROW()-132)),"")</f>
        <v>https://elecciones.comunidad.madrid/es/formaciones-politicas/listado-candidaturas/partido-feminista-espana</v>
      </c>
      <c r="D140" s="99" t="s">
        <v>184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¿Dónde voto?</v>
      </c>
      <c r="C141" s="85" t="str" cm="1">
        <f t="array" ref="C141">IFERROR(INDEX('03.Muestra'!$F$8:$F$42,SMALL(IF("Página Web"='03.Muestra'!$D$8:$D$42,ROW('03.Muestra'!$F$8:$F$42)-MIN(ROW('03.Muestra'!$D$8:$D$42))+1,""),ROW()-132)),"")</f>
        <v>https://elecciones.comunidad.madrid/es/votar/donde-voto</v>
      </c>
      <c r="D141" s="99" t="s">
        <v>184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Voto presencial</v>
      </c>
      <c r="C142" s="85" t="str" cm="1">
        <f t="array" ref="C142">IFERROR(INDEX('03.Muestra'!$F$8:$F$42,SMALL(IF("Página Web"='03.Muestra'!$D$8:$D$42,ROW('03.Muestra'!$F$8:$F$42)-MIN(ROW('03.Muestra'!$D$8:$D$42))+1,""),ROW()-132)),"")</f>
        <v>https://elecciones.comunidad.madrid/es/voto-local-electoral/voto-presencial</v>
      </c>
      <c r="D142" s="99" t="s">
        <v>184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Ciudadanos temporalmente en el extranjero</v>
      </c>
      <c r="C143" s="85" t="str" cm="1">
        <f t="array" ref="C143">IFERROR(INDEX('03.Muestra'!$F$8:$F$42,SMALL(IF("Página Web"='03.Muestra'!$D$8:$D$42,ROW('03.Muestra'!$F$8:$F$42)-MIN(ROW('03.Muestra'!$D$8:$D$42))+1,""),ROW()-132)),"")</f>
        <v>https://elecciones.comunidad.madrid/es/voto-correo/solicitud-voto-temporalmente-ausentes</v>
      </c>
      <c r="D143" s="99" t="s">
        <v>184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Nuevo votante</v>
      </c>
      <c r="C144" s="85" t="str" cm="1">
        <f t="array" ref="C144">IFERROR(INDEX('03.Muestra'!$F$8:$F$42,SMALL(IF("Página Web"='03.Muestra'!$D$8:$D$42,ROW('03.Muestra'!$F$8:$F$42)-MIN(ROW('03.Muestra'!$D$8:$D$42))+1,""),ROW()-132)),"")</f>
        <v>https://elecciones.comunidad.madrid/es/votar/nuevo-votante</v>
      </c>
      <c r="D144" s="99" t="s">
        <v>184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Simulación método D'Hondt</v>
      </c>
      <c r="C145" s="85" t="str" cm="1">
        <f t="array" ref="C145">IFERROR(INDEX('03.Muestra'!$F$8:$F$42,SMALL(IF("Página Web"='03.Muestra'!$D$8:$D$42,ROW('03.Muestra'!$F$8:$F$42)-MIN(ROW('03.Muestra'!$D$8:$D$42))+1,""),ROW()-132)),"")</f>
        <v>https://elecciones.comunidad.madrid/es/informacion-util/simulacion-metodo-dhondt</v>
      </c>
      <c r="D145" s="99" t="s">
        <v>184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Ley D'Hondt</v>
      </c>
      <c r="C146" s="85" t="str" cm="1">
        <f t="array" ref="C146">IFERROR(INDEX('03.Muestra'!$F$8:$F$42,SMALL(IF("Página Web"='03.Muestra'!$D$8:$D$42,ROW('03.Muestra'!$F$8:$F$42)-MIN(ROW('03.Muestra'!$D$8:$D$42))+1,""),ROW()-132)),"")</f>
        <v>https://elecciones.comunidad.madrid/es/resultados/ley_d_hondt</v>
      </c>
      <c r="D146" s="99" t="s">
        <v>184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Voto por correo elector CERA en España</v>
      </c>
      <c r="C147" s="85" t="str" cm="1">
        <f t="array" ref="C147">IFERROR(INDEX('03.Muestra'!$F$8:$F$42,SMALL(IF("Página Web"='03.Muestra'!$D$8:$D$42,ROW('03.Muestra'!$F$8:$F$42)-MIN(ROW('03.Muestra'!$D$8:$D$42))+1,""),ROW()-132)),"")</f>
        <v>https://elecciones.comunidad.madrid/es/preguntas-frecuentes/voto-correo-electores-residentes-extranjero</v>
      </c>
      <c r="D147" s="99" t="s">
        <v>184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https://elecciones.comunidad.madrid/es/buzon-de-sugerencias</v>
      </c>
      <c r="D148" s="99" t="s">
        <v>184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https://elecciones.comunidad.madrid/es/search?search_api_fulltext=partido</v>
      </c>
      <c r="D149" s="99" t="s">
        <v>184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Legal-Privacidad</v>
      </c>
      <c r="C150" s="85" t="str" cm="1">
        <f t="array" ref="C150">IFERROR(INDEX('03.Muestra'!$F$8:$F$42,SMALL(IF("Página Web"='03.Muestra'!$D$8:$D$42,ROW('03.Muestra'!$F$8:$F$42)-MIN(ROW('03.Muestra'!$D$8:$D$42))+1,""),ROW()-132)),"")</f>
        <v>https://elecciones.comunidad.madrid/es/aviso-legal</v>
      </c>
      <c r="D150" s="99" t="s">
        <v>184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https://elecciones.comunidad.madrid/es/sitemap</v>
      </c>
      <c r="D151" s="99" t="s">
        <v>184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Declaracion Accesibilidad</v>
      </c>
      <c r="C152" s="85" t="str" cm="1">
        <f t="array" ref="C152">IFERROR(INDEX('03.Muestra'!$F$8:$F$42,SMALL(IF("Página Web"='03.Muestra'!$D$8:$D$42,ROW('03.Muestra'!$F$8:$F$42)-MIN(ROW('03.Muestra'!$D$8:$D$42))+1,""),ROW()-132)),"")</f>
        <v>https://elecciones.comunidad.madrid/es/accesibilidad</v>
      </c>
      <c r="D152" s="99" t="s">
        <v>174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181</v>
      </c>
      <c r="B170" s="23" t="s">
        <v>173</v>
      </c>
      <c r="C170" s="24" t="s">
        <v>333</v>
      </c>
      <c r="D170" s="25" t="s">
        <v>183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https://elecciones.comunidad.madrid/es</v>
      </c>
      <c r="D171" s="99" t="s">
        <v>184</v>
      </c>
      <c r="E171" s="79" t="str">
        <f t="shared" ref="E171:E205" si="8">IF(D171&lt;&gt;"",IF(AND(B171&lt;&gt;"",C171&lt;&gt;""),"","ERR"),"")</f>
        <v/>
      </c>
      <c r="F171" s="86" t="s">
        <v>185</v>
      </c>
      <c r="G171" s="87" t="s">
        <v>186</v>
      </c>
      <c r="H171" s="88" t="s">
        <v>184</v>
      </c>
      <c r="I171" s="89" t="s">
        <v>176</v>
      </c>
      <c r="J171" s="90" t="s">
        <v>174</v>
      </c>
      <c r="K171" s="179" t="s">
        <v>180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Resultado Elecciones 28M 2023</v>
      </c>
      <c r="C172" s="85" t="str" cm="1">
        <f t="array" ref="C172">IFERROR(INDEX('03.Muestra'!$F$8:$F$42,SMALL(IF("Página Web"='03.Muestra'!$D$8:$D$42,ROW('03.Muestra'!$F$8:$F$42)-MIN(ROW('03.Muestra'!$D$8:$D$42))+1,""),ROW()-170)),"")</f>
        <v>https://elecciones.comunidad.madrid/es/resultados-elecciones-asamblea-madrid-28m-2023</v>
      </c>
      <c r="D172" s="99" t="s">
        <v>184</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Normativa electoral</v>
      </c>
      <c r="C173" s="85" t="str" cm="1">
        <f t="array" ref="C173">IFERROR(INDEX('03.Muestra'!$F$8:$F$42,SMALL(IF("Página Web"='03.Muestra'!$D$8:$D$42,ROW('03.Muestra'!$F$8:$F$42)-MIN(ROW('03.Muestra'!$D$8:$D$42))+1,""),ROW()-170)),"")</f>
        <v>https://elecciones.comunidad.madrid/es/informacion-electoral/normativa-electoral</v>
      </c>
      <c r="D173" s="99" t="s">
        <v>184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 electoral</v>
      </c>
      <c r="C174" s="85" t="str" cm="1">
        <f t="array" ref="C174">IFERROR(INDEX('03.Muestra'!$F$8:$F$42,SMALL(IF("Página Web"='03.Muestra'!$D$8:$D$42,ROW('03.Muestra'!$F$8:$F$42)-MIN(ROW('03.Muestra'!$D$8:$D$42))+1,""),ROW()-170)),"")</f>
        <v>https://elecciones.comunidad.madrid/es/informacion-electoral/calendario-electoral</v>
      </c>
      <c r="D174" s="99" t="s">
        <v>184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Direcciones y teléfonos</v>
      </c>
      <c r="C175" s="85" t="str" cm="1">
        <f t="array" ref="C175">IFERROR(INDEX('03.Muestra'!$F$8:$F$42,SMALL(IF("Página Web"='03.Muestra'!$D$8:$D$42,ROW('03.Muestra'!$F$8:$F$42)-MIN(ROW('03.Muestra'!$D$8:$D$42))+1,""),ROW()-170)),"")</f>
        <v>https://elecciones.comunidad.madrid/es/juntas-electorales/direcciones-telefonos</v>
      </c>
      <c r="D175" s="99" t="s">
        <v>184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Impresos electrónicos</v>
      </c>
      <c r="C176" s="85" t="str" cm="1">
        <f t="array" ref="C176">IFERROR(INDEX('03.Muestra'!$F$8:$F$42,SMALL(IF("Página Web"='03.Muestra'!$D$8:$D$42,ROW('03.Muestra'!$F$8:$F$42)-MIN(ROW('03.Muestra'!$D$8:$D$42))+1,""),ROW()-170)),"")</f>
        <v>https://elecciones.comunidad.madrid/es/formaciones-politicas/impresos-electronicos</v>
      </c>
      <c r="D176" s="99" t="s">
        <v>184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Listado de candidaturas</v>
      </c>
      <c r="C177" s="85" t="str" cm="1">
        <f t="array" ref="C177">IFERROR(INDEX('03.Muestra'!$F$8:$F$42,SMALL(IF("Página Web"='03.Muestra'!$D$8:$D$42,ROW('03.Muestra'!$F$8:$F$42)-MIN(ROW('03.Muestra'!$D$8:$D$42))+1,""),ROW()-170)),"")</f>
        <v>https://elecciones.comunidad.madrid/es/formaciones-politicas/listado-candidaturas-proclamadas</v>
      </c>
      <c r="D177" s="99" t="s">
        <v>184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Partido Feminista de España</v>
      </c>
      <c r="C178" s="85" t="str" cm="1">
        <f t="array" ref="C178">IFERROR(INDEX('03.Muestra'!$F$8:$F$42,SMALL(IF("Página Web"='03.Muestra'!$D$8:$D$42,ROW('03.Muestra'!$F$8:$F$42)-MIN(ROW('03.Muestra'!$D$8:$D$42))+1,""),ROW()-170)),"")</f>
        <v>https://elecciones.comunidad.madrid/es/formaciones-politicas/listado-candidaturas/partido-feminista-espana</v>
      </c>
      <c r="D178" s="99" t="s">
        <v>184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¿Dónde voto?</v>
      </c>
      <c r="C179" s="85" t="str" cm="1">
        <f t="array" ref="C179">IFERROR(INDEX('03.Muestra'!$F$8:$F$42,SMALL(IF("Página Web"='03.Muestra'!$D$8:$D$42,ROW('03.Muestra'!$F$8:$F$42)-MIN(ROW('03.Muestra'!$D$8:$D$42))+1,""),ROW()-170)),"")</f>
        <v>https://elecciones.comunidad.madrid/es/votar/donde-voto</v>
      </c>
      <c r="D179" s="99" t="s">
        <v>184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Voto presencial</v>
      </c>
      <c r="C180" s="85" t="str" cm="1">
        <f t="array" ref="C180">IFERROR(INDEX('03.Muestra'!$F$8:$F$42,SMALL(IF("Página Web"='03.Muestra'!$D$8:$D$42,ROW('03.Muestra'!$F$8:$F$42)-MIN(ROW('03.Muestra'!$D$8:$D$42))+1,""),ROW()-170)),"")</f>
        <v>https://elecciones.comunidad.madrid/es/voto-local-electoral/voto-presencial</v>
      </c>
      <c r="D180" s="99" t="s">
        <v>184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Ciudadanos temporalmente en el extranjero</v>
      </c>
      <c r="C181" s="85" t="str" cm="1">
        <f t="array" ref="C181">IFERROR(INDEX('03.Muestra'!$F$8:$F$42,SMALL(IF("Página Web"='03.Muestra'!$D$8:$D$42,ROW('03.Muestra'!$F$8:$F$42)-MIN(ROW('03.Muestra'!$D$8:$D$42))+1,""),ROW()-170)),"")</f>
        <v>https://elecciones.comunidad.madrid/es/voto-correo/solicitud-voto-temporalmente-ausentes</v>
      </c>
      <c r="D181" s="99" t="s">
        <v>184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Nuevo votante</v>
      </c>
      <c r="C182" s="85" t="str" cm="1">
        <f t="array" ref="C182">IFERROR(INDEX('03.Muestra'!$F$8:$F$42,SMALL(IF("Página Web"='03.Muestra'!$D$8:$D$42,ROW('03.Muestra'!$F$8:$F$42)-MIN(ROW('03.Muestra'!$D$8:$D$42))+1,""),ROW()-170)),"")</f>
        <v>https://elecciones.comunidad.madrid/es/votar/nuevo-votante</v>
      </c>
      <c r="D182" s="99" t="s">
        <v>184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Simulación método D'Hondt</v>
      </c>
      <c r="C183" s="85" t="str" cm="1">
        <f t="array" ref="C183">IFERROR(INDEX('03.Muestra'!$F$8:$F$42,SMALL(IF("Página Web"='03.Muestra'!$D$8:$D$42,ROW('03.Muestra'!$F$8:$F$42)-MIN(ROW('03.Muestra'!$D$8:$D$42))+1,""),ROW()-170)),"")</f>
        <v>https://elecciones.comunidad.madrid/es/informacion-util/simulacion-metodo-dhondt</v>
      </c>
      <c r="D183" s="99" t="s">
        <v>184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Ley D'Hondt</v>
      </c>
      <c r="C184" s="85" t="str" cm="1">
        <f t="array" ref="C184">IFERROR(INDEX('03.Muestra'!$F$8:$F$42,SMALL(IF("Página Web"='03.Muestra'!$D$8:$D$42,ROW('03.Muestra'!$F$8:$F$42)-MIN(ROW('03.Muestra'!$D$8:$D$42))+1,""),ROW()-170)),"")</f>
        <v>https://elecciones.comunidad.madrid/es/resultados/ley_d_hondt</v>
      </c>
      <c r="D184" s="99" t="s">
        <v>184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Voto por correo elector CERA en España</v>
      </c>
      <c r="C185" s="85" t="str" cm="1">
        <f t="array" ref="C185">IFERROR(INDEX('03.Muestra'!$F$8:$F$42,SMALL(IF("Página Web"='03.Muestra'!$D$8:$D$42,ROW('03.Muestra'!$F$8:$F$42)-MIN(ROW('03.Muestra'!$D$8:$D$42))+1,""),ROW()-170)),"")</f>
        <v>https://elecciones.comunidad.madrid/es/preguntas-frecuentes/voto-correo-electores-residentes-extranjero</v>
      </c>
      <c r="D185" s="99" t="s">
        <v>184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https://elecciones.comunidad.madrid/es/buzon-de-sugerencias</v>
      </c>
      <c r="D186" s="99" t="s">
        <v>184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https://elecciones.comunidad.madrid/es/search?search_api_fulltext=partido</v>
      </c>
      <c r="D187" s="99" t="s">
        <v>184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Legal-Privacidad</v>
      </c>
      <c r="C188" s="85" t="str" cm="1">
        <f t="array" ref="C188">IFERROR(INDEX('03.Muestra'!$F$8:$F$42,SMALL(IF("Página Web"='03.Muestra'!$D$8:$D$42,ROW('03.Muestra'!$F$8:$F$42)-MIN(ROW('03.Muestra'!$D$8:$D$42))+1,""),ROW()-170)),"")</f>
        <v>https://elecciones.comunidad.madrid/es/aviso-legal</v>
      </c>
      <c r="D188" s="99" t="s">
        <v>184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https://elecciones.comunidad.madrid/es/sitemap</v>
      </c>
      <c r="D189" s="99" t="s">
        <v>184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Declaracion Accesibilidad</v>
      </c>
      <c r="C190" s="85" t="str" cm="1">
        <f t="array" ref="C190">IFERROR(INDEX('03.Muestra'!$F$8:$F$42,SMALL(IF("Página Web"='03.Muestra'!$D$8:$D$42,ROW('03.Muestra'!$F$8:$F$42)-MIN(ROW('03.Muestra'!$D$8:$D$42))+1,""),ROW()-170)),"")</f>
        <v>https://elecciones.comunidad.madrid/es/accesibilidad</v>
      </c>
      <c r="D190" s="99" t="s">
        <v>176</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abSelected="1" topLeftCell="A7" zoomScale="70" zoomScaleNormal="70" workbookViewId="0">
      <selection activeCell="N2" sqref="N2"/>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334</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40" t="s">
        <v>335</v>
      </c>
      <c r="L6" s="240"/>
      <c r="M6" s="240"/>
      <c r="N6" s="48"/>
      <c r="O6" s="240" t="s">
        <v>336</v>
      </c>
      <c r="P6" s="240"/>
      <c r="Q6" s="240"/>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41" t="s">
        <v>168</v>
      </c>
      <c r="D7" s="242"/>
      <c r="E7" s="205" t="s">
        <v>337</v>
      </c>
      <c r="F7" s="205" t="s">
        <v>338</v>
      </c>
      <c r="G7" s="205" t="s">
        <v>179</v>
      </c>
      <c r="H7" s="205" t="s">
        <v>339</v>
      </c>
      <c r="I7" s="197" t="s">
        <v>340</v>
      </c>
      <c r="J7" s="186" t="s">
        <v>341</v>
      </c>
      <c r="K7" s="206" t="s">
        <v>342</v>
      </c>
      <c r="L7" s="106" t="s">
        <v>343</v>
      </c>
      <c r="M7" s="207" t="s">
        <v>171</v>
      </c>
      <c r="O7" s="206" t="s">
        <v>342</v>
      </c>
      <c r="P7" s="106" t="s">
        <v>343</v>
      </c>
      <c r="Q7" s="207" t="s">
        <v>171</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43" t="s">
        <v>344</v>
      </c>
      <c r="D8" s="244"/>
      <c r="E8" s="38" t="str">
        <f ca="1">CONCATENATE(COUNTIF(E55:CR55,"CONFORME")," (",ROUND(COUNTIF(E55:CR55,"CONFORME")*100/COUNTA($E$19:CR$19),2)," %)")</f>
        <v>22 (23,91 %)</v>
      </c>
      <c r="F8" s="38" t="str">
        <f ca="1">CONCATENATE(COUNTIF(E55:CR55,"NO CONFORME")," (",ROUND(COUNTIF(E55:CR55,"NO CONFORME")*100/COUNTA($E$19:CR$19),2)," %)")</f>
        <v>28 (30,43 %)</v>
      </c>
      <c r="G8" s="39" t="str">
        <f ca="1">CONCATENATE(COUNTIF(E55:CR55,"N/A")," (",ROUND(COUNTIF(E55:CR55,"N/A")*100/COUNTA($E$19:CR$19),2)," %)")</f>
        <v>42 (45,65 %)</v>
      </c>
      <c r="H8" s="39">
        <f ca="1">COUNTIF(E55:CR55,"ERROR")</f>
        <v>0</v>
      </c>
      <c r="I8" s="40">
        <f ca="1">COUNTIF(E55:CR55,"EN CURSO")</f>
        <v>0</v>
      </c>
      <c r="J8" s="187">
        <f ca="1">SUM(VALUE(LEFT(E8,SEARCH(" ",E8)-1)),VALUE(LEFT(F8,SEARCH(" ",F8)-1)))</f>
        <v>50</v>
      </c>
      <c r="K8" s="41" t="s">
        <v>345</v>
      </c>
      <c r="L8" s="38">
        <f ca="1">COUNTIF( $E$20:INDIRECT("$CR$" &amp;  SUM(19,COUNTIFS(B20:B54,"&lt;&gt;"))),"Pasa")+ COUNTIF($E$61:INDIRECT("$AW$" &amp;  SUM(60,COUNTIFS(B61:B95,"&lt;&gt;"))),"Pasa")</f>
        <v>356</v>
      </c>
      <c r="M8" s="42">
        <f ca="1">IF(($L$11+$P$11)=0,0,L8/($L$11+$P$11))</f>
        <v>0.19347826086956521</v>
      </c>
      <c r="N8" s="26"/>
      <c r="O8" s="41" t="s">
        <v>175</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9" t="s">
        <v>346</v>
      </c>
      <c r="D9" s="250"/>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176</v>
      </c>
      <c r="L9" s="38">
        <f ca="1">COUNTIF( $E$20:INDIRECT("$CR$" &amp;  SUM(19,COUNTIFS(B20:B54,"&lt;&gt;"))),"Falla")+ COUNTIF($E$61:INDIRECT("$AW$" &amp;  SUM(60,COUNTIFS(B61:B95,"&lt;&gt;"))),"Falla")</f>
        <v>354</v>
      </c>
      <c r="M9" s="42">
        <f ca="1">IF(($L$11+$P$11)=0,0,L9/($L$11+$P$11))</f>
        <v>0.19239130434782609</v>
      </c>
      <c r="N9" s="26"/>
      <c r="O9" s="41" t="s">
        <v>177</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54" t="s">
        <v>347</v>
      </c>
      <c r="D10" s="255"/>
      <c r="E10" s="192" t="str">
        <f ca="1">CONCATENATE(ROUND(E11/137*100,2)," %")</f>
        <v>16,06 %</v>
      </c>
      <c r="F10" s="192" t="str">
        <f ca="1">CONCATENATE(ROUND(F11/137*100,2)," %")</f>
        <v>20,44 %</v>
      </c>
      <c r="G10" s="192" t="str">
        <f ca="1">CONCATENATE(ROUND(G11/137*100,2)," %")</f>
        <v>63,5 %</v>
      </c>
      <c r="H10" s="192" t="str">
        <f ca="1">CONCATENATE(ROUND(H11/137*100,2)," %")</f>
        <v>0 %</v>
      </c>
      <c r="I10" s="194" t="str">
        <f ca="1">CONCATENATE(ROUND(I11/137*100,2)," %")</f>
        <v>0 %</v>
      </c>
      <c r="J10" s="195"/>
      <c r="K10" s="41" t="s">
        <v>179</v>
      </c>
      <c r="L10" s="38">
        <f ca="1">COUNTIF( $E$20:INDIRECT("$CR$" &amp;  SUM(19,COUNTIFS(B20:B54,"&lt;&gt;"))),"N/A")+COUNTIF($E$61:INDIRECT("$AW$" &amp;  SUM(60,COUNTIFS(B61:B95,"&lt;&gt;"))),"N/A")</f>
        <v>1130</v>
      </c>
      <c r="M10" s="42">
        <f ca="1">IF(($L$11+$P$11)=0,0,L10/($L$11+$P$11))</f>
        <v>0.61413043478260865</v>
      </c>
      <c r="N10" s="26"/>
      <c r="O10" s="139" t="s">
        <v>180</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8"/>
      <c r="D11" s="248"/>
      <c r="E11" s="193">
        <f ca="1">SUM(VALUE(LEFT(E8,SEARCH(" ",E8)-1)),VALUE(LEFT(E9,SEARCH(" ",E9)-1)))</f>
        <v>22</v>
      </c>
      <c r="F11" s="193">
        <f ca="1">SUM(VALUE(LEFT(F8,SEARCH(" ",F8)-1)),VALUE(LEFT(F9,SEARCH(" ",F9)-1)))</f>
        <v>28</v>
      </c>
      <c r="G11" s="193">
        <f ca="1">SUM(VALUE(LEFT(G8,SEARCH(" ",G8)-1)),VALUE(LEFT(G9,SEARCH(" ",G9)-1)))</f>
        <v>87</v>
      </c>
      <c r="H11" s="193">
        <f ca="1">SUM(H8:H9)</f>
        <v>0</v>
      </c>
      <c r="I11" s="193">
        <f ca="1">SUM(I8:I9)</f>
        <v>0</v>
      </c>
      <c r="K11" s="43" t="s">
        <v>348</v>
      </c>
      <c r="L11" s="203">
        <f ca="1">SUM(L8:L10)</f>
        <v>1840</v>
      </c>
      <c r="M11" s="204">
        <f ca="1">SUM(M8:M10)</f>
        <v>1</v>
      </c>
      <c r="N11" s="26"/>
      <c r="O11" s="43" t="s">
        <v>348</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349</v>
      </c>
      <c r="E13" s="18"/>
      <c r="F13" s="251" t="s">
        <v>350</v>
      </c>
      <c r="G13" s="252"/>
      <c r="H13" s="252"/>
      <c r="I13" s="253"/>
      <c r="J13" s="18"/>
      <c r="K13" s="251" t="s">
        <v>351</v>
      </c>
      <c r="L13" s="253"/>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No Conforme</v>
      </c>
      <c r="F14" s="245">
        <f ca="1">IF(AND(D14&lt;&gt;"Evaluación en curso",D14&lt;&gt;"Evaluación con errores",D14&lt;&gt;""), IF(J8=0,"", ROUND(((COUNT(B20:B54)/(COUNT(B20:B54)+COUNT(B61:B95)))*IF(J8=0,0,LEFT(E8,SEARCH(" ",E8)-1)/J8)+(COUNT(B61:B95)/(COUNT(B20:B54)+COUNT(B61:B95)))*IF(J9=0,0,LEFT(E9,SEARCH(" ",E9)-1)/J9))*10,2)),"")</f>
        <v>4.4000000000000004</v>
      </c>
      <c r="G14" s="246"/>
      <c r="H14" s="246"/>
      <c r="I14" s="247"/>
      <c r="J14" s="18"/>
      <c r="K14" s="245" t="str">
        <f>'03.Muestra'!D52</f>
        <v>SI</v>
      </c>
      <c r="L14" s="247"/>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6" t="s">
        <v>344</v>
      </c>
      <c r="C17" s="237"/>
      <c r="D17" s="238"/>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3" t="s">
        <v>352</v>
      </c>
      <c r="C18" s="234"/>
      <c r="D18" s="235"/>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181</v>
      </c>
      <c r="C19" s="72" t="s">
        <v>353</v>
      </c>
      <c r="D19" s="72" t="s">
        <v>354</v>
      </c>
      <c r="E19" s="72" t="s">
        <v>355</v>
      </c>
      <c r="F19" s="72" t="s">
        <v>356</v>
      </c>
      <c r="G19" s="72" t="s">
        <v>357</v>
      </c>
      <c r="H19" s="72" t="s">
        <v>358</v>
      </c>
      <c r="I19" s="72" t="s">
        <v>359</v>
      </c>
      <c r="J19" s="72" t="s">
        <v>360</v>
      </c>
      <c r="K19" s="72" t="s">
        <v>361</v>
      </c>
      <c r="L19" s="72" t="s">
        <v>362</v>
      </c>
      <c r="M19" s="72" t="s">
        <v>363</v>
      </c>
      <c r="N19" s="72" t="s">
        <v>364</v>
      </c>
      <c r="O19" s="72" t="s">
        <v>365</v>
      </c>
      <c r="P19" s="72" t="s">
        <v>366</v>
      </c>
      <c r="Q19" s="72" t="s">
        <v>367</v>
      </c>
      <c r="R19" s="72" t="s">
        <v>368</v>
      </c>
      <c r="S19" s="72" t="s">
        <v>369</v>
      </c>
      <c r="T19" s="72" t="s">
        <v>370</v>
      </c>
      <c r="U19" s="72" t="s">
        <v>371</v>
      </c>
      <c r="V19" s="72" t="s">
        <v>372</v>
      </c>
      <c r="W19" s="72" t="s">
        <v>373</v>
      </c>
      <c r="X19" s="72" t="s">
        <v>374</v>
      </c>
      <c r="Y19" s="72" t="s">
        <v>375</v>
      </c>
      <c r="Z19" s="72" t="s">
        <v>376</v>
      </c>
      <c r="AA19" s="72" t="s">
        <v>377</v>
      </c>
      <c r="AB19" s="72" t="s">
        <v>378</v>
      </c>
      <c r="AC19" s="72" t="s">
        <v>379</v>
      </c>
      <c r="AD19" s="72" t="s">
        <v>380</v>
      </c>
      <c r="AE19" s="72" t="s">
        <v>381</v>
      </c>
      <c r="AF19" s="72" t="s">
        <v>382</v>
      </c>
      <c r="AG19" s="72" t="s">
        <v>383</v>
      </c>
      <c r="AH19" s="72" t="s">
        <v>384</v>
      </c>
      <c r="AI19" s="72" t="s">
        <v>385</v>
      </c>
      <c r="AJ19" s="72" t="s">
        <v>386</v>
      </c>
      <c r="AK19" s="72" t="s">
        <v>387</v>
      </c>
      <c r="AL19" s="72" t="s">
        <v>388</v>
      </c>
      <c r="AM19" s="72" t="s">
        <v>389</v>
      </c>
      <c r="AN19" s="72" t="s">
        <v>390</v>
      </c>
      <c r="AO19" s="72" t="s">
        <v>391</v>
      </c>
      <c r="AP19" s="72" t="s">
        <v>392</v>
      </c>
      <c r="AQ19" s="72" t="s">
        <v>393</v>
      </c>
      <c r="AR19" s="72" t="s">
        <v>394</v>
      </c>
      <c r="AS19" s="72" t="s">
        <v>395</v>
      </c>
      <c r="AT19" s="72" t="s">
        <v>396</v>
      </c>
      <c r="AU19" s="72" t="s">
        <v>397</v>
      </c>
      <c r="AV19" s="72" t="s">
        <v>398</v>
      </c>
      <c r="AW19" s="72" t="s">
        <v>399</v>
      </c>
      <c r="AX19" s="72" t="s">
        <v>400</v>
      </c>
      <c r="AY19" s="72" t="s">
        <v>401</v>
      </c>
      <c r="AZ19" s="72" t="s">
        <v>402</v>
      </c>
      <c r="BA19" s="72" t="s">
        <v>403</v>
      </c>
      <c r="BB19" s="72" t="s">
        <v>404</v>
      </c>
      <c r="BC19" s="72" t="s">
        <v>405</v>
      </c>
      <c r="BD19" s="72" t="s">
        <v>406</v>
      </c>
      <c r="BE19" s="72" t="s">
        <v>407</v>
      </c>
      <c r="BF19" s="72" t="s">
        <v>408</v>
      </c>
      <c r="BG19" s="72" t="s">
        <v>409</v>
      </c>
      <c r="BH19" s="72" t="s">
        <v>410</v>
      </c>
      <c r="BI19" s="72" t="s">
        <v>411</v>
      </c>
      <c r="BJ19" s="72" t="s">
        <v>412</v>
      </c>
      <c r="BK19" s="72" t="s">
        <v>413</v>
      </c>
      <c r="BL19" s="72" t="s">
        <v>414</v>
      </c>
      <c r="BM19" s="72" t="s">
        <v>415</v>
      </c>
      <c r="BN19" s="72" t="s">
        <v>416</v>
      </c>
      <c r="BO19" s="72" t="s">
        <v>417</v>
      </c>
      <c r="BP19" s="72" t="s">
        <v>418</v>
      </c>
      <c r="BQ19" s="72" t="s">
        <v>419</v>
      </c>
      <c r="BR19" s="72" t="s">
        <v>420</v>
      </c>
      <c r="BS19" s="72" t="s">
        <v>421</v>
      </c>
      <c r="BT19" s="72" t="s">
        <v>422</v>
      </c>
      <c r="BU19" s="72" t="s">
        <v>423</v>
      </c>
      <c r="BV19" s="72" t="s">
        <v>424</v>
      </c>
      <c r="BW19" s="72" t="s">
        <v>425</v>
      </c>
      <c r="BX19" s="72" t="s">
        <v>426</v>
      </c>
      <c r="BY19" s="72" t="s">
        <v>427</v>
      </c>
      <c r="BZ19" s="72" t="s">
        <v>428</v>
      </c>
      <c r="CA19" s="72" t="s">
        <v>429</v>
      </c>
      <c r="CB19" s="72" t="s">
        <v>430</v>
      </c>
      <c r="CC19" s="72" t="s">
        <v>431</v>
      </c>
      <c r="CD19" s="72" t="s">
        <v>432</v>
      </c>
      <c r="CE19" s="72" t="s">
        <v>433</v>
      </c>
      <c r="CF19" s="72" t="s">
        <v>434</v>
      </c>
      <c r="CG19" s="72" t="s">
        <v>435</v>
      </c>
      <c r="CH19" s="72" t="s">
        <v>436</v>
      </c>
      <c r="CI19" s="72" t="s">
        <v>437</v>
      </c>
      <c r="CJ19" s="72" t="s">
        <v>438</v>
      </c>
      <c r="CK19" s="72" t="s">
        <v>439</v>
      </c>
      <c r="CL19" s="72" t="s">
        <v>440</v>
      </c>
      <c r="CM19" s="72" t="s">
        <v>441</v>
      </c>
      <c r="CN19" s="72" t="s">
        <v>442</v>
      </c>
      <c r="CO19" s="72" t="s">
        <v>443</v>
      </c>
      <c r="CP19" s="72" t="s">
        <v>444</v>
      </c>
      <c r="CQ19" s="72" t="s">
        <v>445</v>
      </c>
      <c r="CR19" s="72" t="s">
        <v>446</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https://elecciones.comunidad.madrid/es</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Falla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Falla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Falla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Falla</v>
      </c>
      <c r="AM20" s="75" t="str" cm="1">
        <f t="array" aca="1" ref="AM20" ca="1">IF($B20="","",IF(ISBLANK(INDIRECT("R9.Web!D"&amp;SUM(18,38*3,1))),"",INDIRECT("R9.Web!D"&amp;SUM(18,38*3,1))))</f>
        <v>Falla</v>
      </c>
      <c r="AN20" s="75" t="str" cm="1">
        <f t="array" aca="1" ref="AN20" ca="1">IF($B20="","",IF(ISBLANK(INDIRECT("R9.Web!D"&amp;SUM(18,38*4,1))),"",INDIRECT("R9.Web!D"&amp;SUM(18,38*4,1))))</f>
        <v>Falla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Falla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Falla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Pasa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Falla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Falla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Resultado Elecciones 28M 2023</v>
      </c>
      <c r="D21" s="74" t="str" cm="1">
        <f t="array" ref="D21">IFERROR(INDEX('03.Muestra'!$F$8:$F$42,SMALL(IF("Página Web"='03.Muestra'!$D$8:$D$42,ROW('03.Muestra'!$F$8:$F$42)-MIN(ROW('03.Muestra'!$D$8:$D$42))+1,""),ROW()-19)),"")</f>
        <v>https://elecciones.comunidad.madrid/es/resultados-elecciones-asamblea-madrid-28m-2023</v>
      </c>
      <c r="E21" s="75" t="str" cm="1">
        <f t="array" aca="1" ref="E21" ca="1">IF($B21="","",IF(ISBLANK(INDIRECT("R5.Genéricos!D"&amp;SUM(18,38*0,2))),"",INDIRECT("R5.Genéricos!D"&amp;SUM(18,38*0,2))))</f>
        <v>Falla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Falla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Pasa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Falla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Pasa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Falla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Falla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Falla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Normativa electoral</v>
      </c>
      <c r="D22" s="74" t="str" cm="1">
        <f t="array" ref="D22">IFERROR(INDEX('03.Muestra'!$F$8:$F$42,SMALL(IF("Página Web"='03.Muestra'!$D$8:$D$42,ROW('03.Muestra'!$F$8:$F$42)-MIN(ROW('03.Muestra'!$D$8:$D$42))+1,""),ROW()-19)),"")</f>
        <v>https://elecciones.comunidad.madrid/es/informacion-electoral/normativa-electoral</v>
      </c>
      <c r="E22" s="75" t="str" cm="1">
        <f t="array" aca="1" ref="E22" ca="1">IF($B22="","",IF(ISBLANK(INDIRECT("R5.Genéricos!D"&amp;SUM(18,38*0,3))),"",INDIRECT("R5.Genéricos!D"&amp;SUM(18,38*0,3))))</f>
        <v>Falla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Falla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Falla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Pasa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Falla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Falla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Calendario electoral</v>
      </c>
      <c r="D23" s="74" t="str" cm="1">
        <f t="array" ref="D23">IFERROR(INDEX('03.Muestra'!$F$8:$F$42,SMALL(IF("Página Web"='03.Muestra'!$D$8:$D$42,ROW('03.Muestra'!$F$8:$F$42)-MIN(ROW('03.Muestra'!$D$8:$D$42))+1,""),ROW()-19)),"")</f>
        <v>https://elecciones.comunidad.madrid/es/informacion-electoral/calendario-electoral</v>
      </c>
      <c r="E23" s="75" t="str" cm="1">
        <f t="array" aca="1" ref="E23" ca="1">IF($B23="","",IF(ISBLANK(INDIRECT("R5.Genéricos!D"&amp;SUM(18,38*0,4))),"",INDIRECT("R5.Genéricos!D"&amp;SUM(18,38*0,4))))</f>
        <v>Falla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Falla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Falla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Pasa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Falla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Direcciones y teléfonos</v>
      </c>
      <c r="D24" s="74" t="str" cm="1">
        <f t="array" ref="D24">IFERROR(INDEX('03.Muestra'!$F$8:$F$42,SMALL(IF("Página Web"='03.Muestra'!$D$8:$D$42,ROW('03.Muestra'!$F$8:$F$42)-MIN(ROW('03.Muestra'!$D$8:$D$42))+1,""),ROW()-19)),"")</f>
        <v>https://elecciones.comunidad.madrid/es/juntas-electorales/direcciones-telefonos</v>
      </c>
      <c r="E24" s="75" t="str" cm="1">
        <f t="array" aca="1" ref="E24" ca="1">IF($B24="","",IF(ISBLANK(INDIRECT("R5.Genéricos!D"&amp;SUM(18,38*0,5))),"",INDIRECT("R5.Genéricos!D"&amp;SUM(18,38*0,5))))</f>
        <v>Falla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Falla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Falla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Pasa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Falla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Falla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Impresos electrónicos</v>
      </c>
      <c r="D25" s="74" t="str" cm="1">
        <f t="array" ref="D25">IFERROR(INDEX('03.Muestra'!$F$8:$F$42,SMALL(IF("Página Web"='03.Muestra'!$D$8:$D$42,ROW('03.Muestra'!$F$8:$F$42)-MIN(ROW('03.Muestra'!$D$8:$D$42))+1,""),ROW()-19)),"")</f>
        <v>https://elecciones.comunidad.madrid/es/formaciones-politicas/impresos-electronicos</v>
      </c>
      <c r="E25" s="75" t="str" cm="1">
        <f t="array" aca="1" ref="E25" ca="1">IF($B25="","",IF(ISBLANK(INDIRECT("R5.Genéricos!D"&amp;SUM(18,38*0,6))),"",INDIRECT("R5.Genéricos!D"&amp;SUM(18,38*0,6))))</f>
        <v>Falla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Falla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Falla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Pasa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Falla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Falla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Listado de candidaturas</v>
      </c>
      <c r="D26" s="74" t="str" cm="1">
        <f t="array" ref="D26">IFERROR(INDEX('03.Muestra'!$F$8:$F$42,SMALL(IF("Página Web"='03.Muestra'!$D$8:$D$42,ROW('03.Muestra'!$F$8:$F$42)-MIN(ROW('03.Muestra'!$D$8:$D$42))+1,""),ROW()-19)),"")</f>
        <v>https://elecciones.comunidad.madrid/es/formaciones-politicas/listado-candidaturas-proclamadas</v>
      </c>
      <c r="E26" s="75" t="str" cm="1">
        <f t="array" aca="1" ref="E26" ca="1">IF($B26="","",IF(ISBLANK(INDIRECT("R5.Genéricos!D"&amp;SUM(18,38*0,7))),"",INDIRECT("R5.Genéricos!D"&amp;SUM(18,38*0,7))))</f>
        <v>Falla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Falla</v>
      </c>
      <c r="AS26" s="75" t="str" cm="1">
        <f t="array" aca="1" ref="AS26" ca="1">IF($B26="","",IF(ISBLANK(INDIRECT("R9.Web!D"&amp;SUM(18,38*9,7))),"",INDIRECT("R9.Web!D"&amp;SUM(18,38*9,7))))</f>
        <v>N/A</v>
      </c>
      <c r="AT26" s="75" t="str" cm="1">
        <f t="array" aca="1" ref="AT26" ca="1">IF($B26="","",IF(ISBLANK(INDIRECT("R9.Web!D"&amp;SUM(18,38*10,7))),"",INDIRECT("R9.Web!D"&amp;SUM(18,38*10,7))))</f>
        <v>Falla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Falla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Pasa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Falla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Falla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Partido Feminista de España</v>
      </c>
      <c r="D27" s="74" t="str" cm="1">
        <f t="array" ref="D27">IFERROR(INDEX('03.Muestra'!$F$8:$F$42,SMALL(IF("Página Web"='03.Muestra'!$D$8:$D$42,ROW('03.Muestra'!$F$8:$F$42)-MIN(ROW('03.Muestra'!$D$8:$D$42))+1,""),ROW()-19)),"")</f>
        <v>https://elecciones.comunidad.madrid/es/formaciones-politicas/listado-candidaturas/partido-feminista-espana</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Falla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Falla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Pasa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Falla</v>
      </c>
      <c r="BM27" s="75" t="str" cm="1">
        <f t="array" aca="1" ref="BM27" ca="1">IF($B27="","",IF(ISBLANK(INDIRECT("R9.Web!D"&amp;SUM(18,38*29,8))),"",INDIRECT("R9.Web!D"&amp;SUM(18,38*29,8))))</f>
        <v>Falla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Falla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¿Dónde voto?</v>
      </c>
      <c r="D28" s="74" t="str" cm="1">
        <f t="array" ref="D28">IFERROR(INDEX('03.Muestra'!$F$8:$F$42,SMALL(IF("Página Web"='03.Muestra'!$D$8:$D$42,ROW('03.Muestra'!$F$8:$F$42)-MIN(ROW('03.Muestra'!$D$8:$D$42))+1,""),ROW()-19)),"")</f>
        <v>https://elecciones.comunidad.madrid/es/votar/donde-voto</v>
      </c>
      <c r="E28" s="75" t="str" cm="1">
        <f t="array" aca="1" ref="E28" ca="1">IF($B28="","",IF(ISBLANK(INDIRECT("R5.Genéricos!D"&amp;SUM(18,38*0,9))),"",INDIRECT("R5.Genéricos!D"&amp;SUM(18,38*0,9))))</f>
        <v>Falla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Falla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Falla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Pasa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Falla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Falla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Falla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Voto presencial</v>
      </c>
      <c r="D29" s="74" t="str" cm="1">
        <f t="array" ref="D29">IFERROR(INDEX('03.Muestra'!$F$8:$F$42,SMALL(IF("Página Web"='03.Muestra'!$D$8:$D$42,ROW('03.Muestra'!$F$8:$F$42)-MIN(ROW('03.Muestra'!$D$8:$D$42))+1,""),ROW()-19)),"")</f>
        <v>https://elecciones.comunidad.madrid/es/voto-local-electoral/voto-presencial</v>
      </c>
      <c r="E29" s="75" t="str" cm="1">
        <f t="array" aca="1" ref="E29" ca="1">IF($B29="","",IF(ISBLANK(INDIRECT("R5.Genéricos!D"&amp;SUM(18,38*0,10))),"",INDIRECT("R5.Genéricos!D"&amp;SUM(18,38*0,10))))</f>
        <v>Falla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Pasa</v>
      </c>
      <c r="AB29" s="75" t="str" cm="1">
        <f t="array" aca="1" ref="AB29" ca="1">IF($B29="","",IF(ISBLANK(INDIRECT("R7.Video!D"&amp;SUM(18,38*1,10))),"",INDIRECT("R7.Video!D"&amp;SUM(18,38*1,10))))</f>
        <v>Pasa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Falla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Falla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Pasa</v>
      </c>
      <c r="AM29" s="75" t="str" cm="1">
        <f t="array" aca="1" ref="AM29" ca="1">IF($B29="","",IF(ISBLANK(INDIRECT("R9.Web!D"&amp;SUM(18,38*3,10))),"",INDIRECT("R9.Web!D"&amp;SUM(18,38*3,10))))</f>
        <v>Falla</v>
      </c>
      <c r="AN29" s="75" t="str" cm="1">
        <f t="array" aca="1" ref="AN29" ca="1">IF($B29="","",IF(ISBLANK(INDIRECT("R9.Web!D"&amp;SUM(18,38*4,10))),"",INDIRECT("R9.Web!D"&amp;SUM(18,38*4,10))))</f>
        <v>Falla</v>
      </c>
      <c r="AO29" s="75" t="str" cm="1">
        <f t="array" aca="1" ref="AO29" ca="1">IF($B29="","",IF(ISBLANK(INDIRECT("R9.Web!D"&amp;SUM(18,38*5,10))),"",INDIRECT("R9.Web!D"&amp;SUM(18,38*5,10))))</f>
        <v>Falla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Falla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Falla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Pasa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Falla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Falla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399999999999999">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Ciudadanos temporalmente en el extranjero</v>
      </c>
      <c r="D30" s="74" t="str" cm="1">
        <f t="array" ref="D30">IFERROR(INDEX('03.Muestra'!$F$8:$F$42,SMALL(IF("Página Web"='03.Muestra'!$D$8:$D$42,ROW('03.Muestra'!$F$8:$F$42)-MIN(ROW('03.Muestra'!$D$8:$D$42))+1,""),ROW()-19)),"")</f>
        <v>https://elecciones.comunidad.madrid/es/voto-correo/solicitud-voto-temporalmente-ausentes</v>
      </c>
      <c r="E30" s="75" t="str" cm="1">
        <f t="array" aca="1" ref="E30" ca="1">IF($B30="","",IF(ISBLANK(INDIRECT("R5.Genéricos!D"&amp;SUM(18,38*0,11))),"",INDIRECT("R5.Genéricos!D"&amp;SUM(18,38*0,11))))</f>
        <v>Falla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Pasa</v>
      </c>
      <c r="AB30" s="75" t="str" cm="1">
        <f t="array" aca="1" ref="AB30" ca="1">IF($B30="","",IF(ISBLANK(INDIRECT("R7.Video!D"&amp;SUM(18,38*1,11))),"",INDIRECT("R7.Video!D"&amp;SUM(18,38*1,11))))</f>
        <v>Pasa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Falla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Falla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Pasa</v>
      </c>
      <c r="AM30" s="75" t="str" cm="1">
        <f t="array" aca="1" ref="AM30" ca="1">IF($B30="","",IF(ISBLANK(INDIRECT("R9.Web!D"&amp;SUM(18,38*3,11))),"",INDIRECT("R9.Web!D"&amp;SUM(18,38*3,11))))</f>
        <v>Falla</v>
      </c>
      <c r="AN30" s="75" t="str" cm="1">
        <f t="array" aca="1" ref="AN30" ca="1">IF($B30="","",IF(ISBLANK(INDIRECT("R9.Web!D"&amp;SUM(18,38*4,11))),"",INDIRECT("R9.Web!D"&amp;SUM(18,38*4,11))))</f>
        <v>Falla</v>
      </c>
      <c r="AO30" s="75" t="str" cm="1">
        <f t="array" aca="1" ref="AO30" ca="1">IF($B30="","",IF(ISBLANK(INDIRECT("R9.Web!D"&amp;SUM(18,38*5,11))),"",INDIRECT("R9.Web!D"&amp;SUM(18,38*5,11))))</f>
        <v>Falla</v>
      </c>
      <c r="AP30" s="75" t="str" cm="1">
        <f t="array" aca="1" ref="AP30" ca="1">IF($B30="","",IF(ISBLANK(INDIRECT("R9.Web!D"&amp;SUM(18,38*6,11))),"",INDIRECT("R9.Web!D"&amp;SUM(18,38*6,11))))</f>
        <v>Falla</v>
      </c>
      <c r="AQ30" s="75" t="str" cm="1">
        <f t="array" aca="1" ref="AQ30" ca="1">IF($B30="","",IF(ISBLANK(INDIRECT("R9.Web!D"&amp;SUM(18,38*7,11))),"",INDIRECT("R9.Web!D"&amp;SUM(18,38*7,11))))</f>
        <v>Falla</v>
      </c>
      <c r="AR30" s="75" t="str" cm="1">
        <f t="array" aca="1" ref="AR30" ca="1">IF($B30="","",IF(ISBLANK(INDIRECT("R9.Web!D"&amp;SUM(18,38*8,11))),"",INDIRECT("R9.Web!D"&amp;SUM(18,38*8,11))))</f>
        <v>Falla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Pasa</v>
      </c>
      <c r="BB30" s="75" t="str" cm="1">
        <f t="array" aca="1" ref="BB30" ca="1">IF($B30="","",IF(ISBLANK(INDIRECT("R9.Web!D"&amp;SUM(18,38*18,11))),"",INDIRECT("R9.Web!D"&amp;SUM(18,38*18,11))))</f>
        <v>Falla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Pasa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Falla</v>
      </c>
      <c r="BL30" s="75" t="str" cm="1">
        <f t="array" aca="1" ref="BL30" ca="1">IF($B30="","",IF(ISBLANK(INDIRECT("R9.Web!D"&amp;SUM(18,38*28,11))),"",INDIRECT("R9.Web!D"&amp;SUM(18,38*28,11))))</f>
        <v>Falla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Falla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Falla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Falla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Falla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399999999999999">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Nuevo votante</v>
      </c>
      <c r="D31" s="74" t="str" cm="1">
        <f t="array" ref="D31">IFERROR(INDEX('03.Muestra'!$F$8:$F$42,SMALL(IF("Página Web"='03.Muestra'!$D$8:$D$42,ROW('03.Muestra'!$F$8:$F$42)-MIN(ROW('03.Muestra'!$D$8:$D$42))+1,""),ROW()-19)),"")</f>
        <v>https://elecciones.comunidad.madrid/es/votar/nuevo-votante</v>
      </c>
      <c r="E31" s="75" t="str" cm="1">
        <f t="array" aca="1" ref="E31" ca="1">IF($B31="","",IF(ISBLANK(INDIRECT("R5.Genéricos!D"&amp;SUM(18,38*0,12))),"",INDIRECT("R5.Genéricos!D"&amp;SUM(18,38*0,12))))</f>
        <v>Falla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Pasa</v>
      </c>
      <c r="AB31" s="75" t="str" cm="1">
        <f t="array" aca="1" ref="AB31" ca="1">IF($B31="","",IF(ISBLANK(INDIRECT("R7.Video!D"&amp;SUM(18,38*1,12))),"",INDIRECT("R7.Video!D"&amp;SUM(18,38*1,12))))</f>
        <v>Pasa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Falla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Falla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Pasa</v>
      </c>
      <c r="AM31" s="75" t="str" cm="1">
        <f t="array" aca="1" ref="AM31" ca="1">IF($B31="","",IF(ISBLANK(INDIRECT("R9.Web!D"&amp;SUM(18,38*3,12))),"",INDIRECT("R9.Web!D"&amp;SUM(18,38*3,12))))</f>
        <v>Falla</v>
      </c>
      <c r="AN31" s="75" t="str" cm="1">
        <f t="array" aca="1" ref="AN31" ca="1">IF($B31="","",IF(ISBLANK(INDIRECT("R9.Web!D"&amp;SUM(18,38*4,12))),"",INDIRECT("R9.Web!D"&amp;SUM(18,38*4,12))))</f>
        <v>Falla</v>
      </c>
      <c r="AO31" s="75" t="str" cm="1">
        <f t="array" aca="1" ref="AO31" ca="1">IF($B31="","",IF(ISBLANK(INDIRECT("R9.Web!D"&amp;SUM(18,38*5,12))),"",INDIRECT("R9.Web!D"&amp;SUM(18,38*5,12))))</f>
        <v>Falla</v>
      </c>
      <c r="AP31" s="75" t="str" cm="1">
        <f t="array" aca="1" ref="AP31" ca="1">IF($B31="","",IF(ISBLANK(INDIRECT("R9.Web!D"&amp;SUM(18,38*6,12))),"",INDIRECT("R9.Web!D"&amp;SUM(18,38*6,12))))</f>
        <v>Falla</v>
      </c>
      <c r="AQ31" s="75" t="str" cm="1">
        <f t="array" aca="1" ref="AQ31" ca="1">IF($B31="","",IF(ISBLANK(INDIRECT("R9.Web!D"&amp;SUM(18,38*7,12))),"",INDIRECT("R9.Web!D"&amp;SUM(18,38*7,12))))</f>
        <v>Falla</v>
      </c>
      <c r="AR31" s="75" t="str" cm="1">
        <f t="array" aca="1" ref="AR31" ca="1">IF($B31="","",IF(ISBLANK(INDIRECT("R9.Web!D"&amp;SUM(18,38*8,12))),"",INDIRECT("R9.Web!D"&amp;SUM(18,38*8,12))))</f>
        <v>Falla</v>
      </c>
      <c r="AS31" s="75" t="str" cm="1">
        <f t="array" aca="1" ref="AS31" ca="1">IF($B31="","",IF(ISBLANK(INDIRECT("R9.Web!D"&amp;SUM(18,38*9,12))),"",INDIRECT("R9.Web!D"&amp;SUM(18,38*9,12))))</f>
        <v>N/A</v>
      </c>
      <c r="AT31" s="75" t="str" cm="1">
        <f t="array" aca="1" ref="AT31" ca="1">IF($B31="","",IF(ISBLANK(INDIRECT("R9.Web!D"&amp;SUM(18,38*10,12))),"",INDIRECT("R9.Web!D"&amp;SUM(18,38*10,12))))</f>
        <v>Pasa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Falla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Falla</v>
      </c>
      <c r="BA31" s="75" t="str" cm="1">
        <f t="array" aca="1" ref="BA31" ca="1">IF($B31="","",IF(ISBLANK(INDIRECT("R9.Web!D"&amp;SUM(18,38*17,12))),"",INDIRECT("R9.Web!D"&amp;SUM(18,38*17,12))))</f>
        <v>Pasa</v>
      </c>
      <c r="BB31" s="75" t="str" cm="1">
        <f t="array" aca="1" ref="BB31" ca="1">IF($B31="","",IF(ISBLANK(INDIRECT("R9.Web!D"&amp;SUM(18,38*18,12))),"",INDIRECT("R9.Web!D"&amp;SUM(18,38*18,12))))</f>
        <v>Falla</v>
      </c>
      <c r="BC31" s="75" t="str" cm="1">
        <f t="array" aca="1" ref="BC31" ca="1">IF($B31="","",IF(ISBLANK(INDIRECT("R9.Web!D"&amp;SUM(18,38*19,12))),"",INDIRECT("R9.Web!D"&amp;SUM(18,38*19,12))))</f>
        <v>Falla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Pasa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Falla</v>
      </c>
      <c r="BL31" s="75" t="str" cm="1">
        <f t="array" aca="1" ref="BL31" ca="1">IF($B31="","",IF(ISBLANK(INDIRECT("R9.Web!D"&amp;SUM(18,38*28,12))),"",INDIRECT("R9.Web!D"&amp;SUM(18,38*28,12))))</f>
        <v>Falla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Falla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Falla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Falla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399999999999999">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Simulación método D'Hondt</v>
      </c>
      <c r="D32" s="74" t="str" cm="1">
        <f t="array" ref="D32">IFERROR(INDEX('03.Muestra'!$F$8:$F$42,SMALL(IF("Página Web"='03.Muestra'!$D$8:$D$42,ROW('03.Muestra'!$F$8:$F$42)-MIN(ROW('03.Muestra'!$D$8:$D$42))+1,""),ROW()-19)),"")</f>
        <v>https://elecciones.comunidad.madrid/es/informacion-util/simulacion-metodo-dhondt</v>
      </c>
      <c r="E32" s="75" t="str" cm="1">
        <f t="array" aca="1" ref="E32" ca="1">IF($B32="","",IF(ISBLANK(INDIRECT("R5.Genéricos!D"&amp;SUM(18,38*0,13))),"",INDIRECT("R5.Genéricos!D"&amp;SUM(18,38*0,13))))</f>
        <v>Falla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Falla</v>
      </c>
      <c r="AP32" s="75" t="str" cm="1">
        <f t="array" aca="1" ref="AP32" ca="1">IF($B32="","",IF(ISBLANK(INDIRECT("R9.Web!D"&amp;SUM(18,38*6,13))),"",INDIRECT("R9.Web!D"&amp;SUM(18,38*6,13))))</f>
        <v>Falla</v>
      </c>
      <c r="AQ32" s="75" t="str" cm="1">
        <f t="array" aca="1" ref="AQ32" ca="1">IF($B32="","",IF(ISBLANK(INDIRECT("R9.Web!D"&amp;SUM(18,38*7,13))),"",INDIRECT("R9.Web!D"&amp;SUM(18,38*7,13))))</f>
        <v>Falla</v>
      </c>
      <c r="AR32" s="75" t="str" cm="1">
        <f t="array" aca="1" ref="AR32" ca="1">IF($B32="","",IF(ISBLANK(INDIRECT("R9.Web!D"&amp;SUM(18,38*8,13))),"",INDIRECT("R9.Web!D"&amp;SUM(18,38*8,13))))</f>
        <v>Falla</v>
      </c>
      <c r="AS32" s="75" t="str" cm="1">
        <f t="array" aca="1" ref="AS32" ca="1">IF($B32="","",IF(ISBLANK(INDIRECT("R9.Web!D"&amp;SUM(18,38*9,13))),"",INDIRECT("R9.Web!D"&amp;SUM(18,38*9,13))))</f>
        <v>N/A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Pasa</v>
      </c>
      <c r="BB32" s="75" t="str" cm="1">
        <f t="array" aca="1" ref="BB32" ca="1">IF($B32="","",IF(ISBLANK(INDIRECT("R9.Web!D"&amp;SUM(18,38*18,13))),"",INDIRECT("R9.Web!D"&amp;SUM(18,38*18,13))))</f>
        <v>Falla</v>
      </c>
      <c r="BC32" s="75" t="str" cm="1">
        <f t="array" aca="1" ref="BC32" ca="1">IF($B32="","",IF(ISBLANK(INDIRECT("R9.Web!D"&amp;SUM(18,38*19,13))),"",INDIRECT("R9.Web!D"&amp;SUM(18,38*19,13))))</f>
        <v>Falla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Pasa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Pasa</v>
      </c>
      <c r="BJ32" s="75" t="str" cm="1">
        <f t="array" aca="1" ref="BJ32" ca="1">IF($B32="","",IF(ISBLANK(INDIRECT("R9.Web!D"&amp;SUM(18,38*26,13))),"",INDIRECT("R9.Web!D"&amp;SUM(18,38*26,13))))</f>
        <v>Pasa</v>
      </c>
      <c r="BK32" s="75" t="str" cm="1">
        <f t="array" aca="1" ref="BK32" ca="1">IF($B32="","",IF(ISBLANK(INDIRECT("R9.Web!D"&amp;SUM(18,38*27,13))),"",INDIRECT("R9.Web!D"&amp;SUM(18,38*27,13))))</f>
        <v>Falla</v>
      </c>
      <c r="BL32" s="75" t="str" cm="1">
        <f t="array" aca="1" ref="BL32" ca="1">IF($B32="","",IF(ISBLANK(INDIRECT("R9.Web!D"&amp;SUM(18,38*28,13))),"",INDIRECT("R9.Web!D"&amp;SUM(18,38*28,13))))</f>
        <v>Falla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Falla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Falla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Pasa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Falla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399999999999999">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Ley D'Hondt</v>
      </c>
      <c r="D33" s="74" t="str" cm="1">
        <f t="array" ref="D33">IFERROR(INDEX('03.Muestra'!$F$8:$F$42,SMALL(IF("Página Web"='03.Muestra'!$D$8:$D$42,ROW('03.Muestra'!$F$8:$F$42)-MIN(ROW('03.Muestra'!$D$8:$D$42))+1,""),ROW()-19)),"")</f>
        <v>https://elecciones.comunidad.madrid/es/resultados/ley_d_hondt</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Falla</v>
      </c>
      <c r="AP33" s="75" t="str" cm="1">
        <f t="array" aca="1" ref="AP33" ca="1">IF($B33="","",IF(ISBLANK(INDIRECT("R9.Web!D"&amp;SUM(18,38*6,14))),"",INDIRECT("R9.Web!D"&amp;SUM(18,38*6,14))))</f>
        <v>Falla</v>
      </c>
      <c r="AQ33" s="75" t="str" cm="1">
        <f t="array" aca="1" ref="AQ33" ca="1">IF($B33="","",IF(ISBLANK(INDIRECT("R9.Web!D"&amp;SUM(18,38*7,14))),"",INDIRECT("R9.Web!D"&amp;SUM(18,38*7,14))))</f>
        <v>Falla</v>
      </c>
      <c r="AR33" s="75" t="str" cm="1">
        <f t="array" aca="1" ref="AR33" ca="1">IF($B33="","",IF(ISBLANK(INDIRECT("R9.Web!D"&amp;SUM(18,38*8,14))),"",INDIRECT("R9.Web!D"&amp;SUM(18,38*8,14))))</f>
        <v>Falla</v>
      </c>
      <c r="AS33" s="75" t="str" cm="1">
        <f t="array" aca="1" ref="AS33" ca="1">IF($B33="","",IF(ISBLANK(INDIRECT("R9.Web!D"&amp;SUM(18,38*9,14))),"",INDIRECT("R9.Web!D"&amp;SUM(18,38*9,14))))</f>
        <v>N/A</v>
      </c>
      <c r="AT33" s="75" t="str" cm="1">
        <f t="array" aca="1" ref="AT33" ca="1">IF($B33="","",IF(ISBLANK(INDIRECT("R9.Web!D"&amp;SUM(18,38*10,14))),"",INDIRECT("R9.Web!D"&amp;SUM(18,38*10,14))))</f>
        <v>Pasa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Falla</v>
      </c>
      <c r="AX33" s="75" t="str" cm="1">
        <f t="array" aca="1" ref="AX33" ca="1">IF($B33="","",IF(ISBLANK(INDIRECT("R9.Web!D"&amp;SUM(18,38*14,14))),"",INDIRECT("R9.Web!D"&amp;SUM(18,38*14,14))))</f>
        <v>N/A</v>
      </c>
      <c r="AY33" s="75" t="str" cm="1">
        <f t="array" aca="1" ref="AY33" ca="1">IF($B33="","",IF(ISBLANK(INDIRECT("R9.Web!D"&amp;SUM(18,38*15,14))),"",INDIRECT("R9.Web!D"&amp;SUM(18,38*15,14))))</f>
        <v>Falla</v>
      </c>
      <c r="AZ33" s="75" t="str" cm="1">
        <f t="array" aca="1" ref="AZ33" ca="1">IF($B33="","",IF(ISBLANK(INDIRECT("R9.Web!D"&amp;SUM(18,38*16,14))),"",INDIRECT("R9.Web!D"&amp;SUM(18,38*16,14))))</f>
        <v>Falla</v>
      </c>
      <c r="BA33" s="75" t="str" cm="1">
        <f t="array" aca="1" ref="BA33" ca="1">IF($B33="","",IF(ISBLANK(INDIRECT("R9.Web!D"&amp;SUM(18,38*17,14))),"",INDIRECT("R9.Web!D"&amp;SUM(18,38*17,14))))</f>
        <v>Pasa</v>
      </c>
      <c r="BB33" s="75" t="str" cm="1">
        <f t="array" aca="1" ref="BB33" ca="1">IF($B33="","",IF(ISBLANK(INDIRECT("R9.Web!D"&amp;SUM(18,38*18,14))),"",INDIRECT("R9.Web!D"&amp;SUM(18,38*18,14))))</f>
        <v>Falla</v>
      </c>
      <c r="BC33" s="75" t="str" cm="1">
        <f t="array" aca="1" ref="BC33" ca="1">IF($B33="","",IF(ISBLANK(INDIRECT("R9.Web!D"&amp;SUM(18,38*19,14))),"",INDIRECT("R9.Web!D"&amp;SUM(18,38*19,14))))</f>
        <v>Falla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Pasa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Pasa</v>
      </c>
      <c r="BJ33" s="75" t="str" cm="1">
        <f t="array" aca="1" ref="BJ33" ca="1">IF($B33="","",IF(ISBLANK(INDIRECT("R9.Web!D"&amp;SUM(18,38*26,14))),"",INDIRECT("R9.Web!D"&amp;SUM(18,38*26,14))))</f>
        <v>Falla</v>
      </c>
      <c r="BK33" s="75" t="str" cm="1">
        <f t="array" aca="1" ref="BK33" ca="1">IF($B33="","",IF(ISBLANK(INDIRECT("R9.Web!D"&amp;SUM(18,38*27,14))),"",INDIRECT("R9.Web!D"&amp;SUM(18,38*27,14))))</f>
        <v>Falla</v>
      </c>
      <c r="BL33" s="75" t="str" cm="1">
        <f t="array" aca="1" ref="BL33" ca="1">IF($B33="","",IF(ISBLANK(INDIRECT("R9.Web!D"&amp;SUM(18,38*28,14))),"",INDIRECT("R9.Web!D"&amp;SUM(18,38*28,14))))</f>
        <v>Falla</v>
      </c>
      <c r="BM33" s="75" t="str" cm="1">
        <f t="array" aca="1" ref="BM33" ca="1">IF($B33="","",IF(ISBLANK(INDIRECT("R9.Web!D"&amp;SUM(18,38*29,14))),"",INDIRECT("R9.Web!D"&amp;SUM(18,38*29,14))))</f>
        <v>Falla</v>
      </c>
      <c r="BN33" s="75" t="str" cm="1">
        <f t="array" aca="1" ref="BN33" ca="1">IF($B33="","",IF(ISBLANK(INDIRECT("R9.Web!D"&amp;SUM(18,38*30,14))),"",INDIRECT("R9.Web!D"&amp;SUM(18,38*30,14))))</f>
        <v>Falla</v>
      </c>
      <c r="BO33" s="75" t="str" cm="1">
        <f t="array" aca="1" ref="BO33" ca="1">IF($B33="","",IF(ISBLANK(INDIRECT("R9.Web!D"&amp;SUM(18,38*31,14))),"",INDIRECT("R9.Web!D"&amp;SUM(18,38*31,14))))</f>
        <v>Falla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Falla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Falla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Falla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Falla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N/A</v>
      </c>
      <c r="CO33" s="75" t="str" cm="1">
        <f t="array" aca="1" ref="CO33" ca="1">IF($B33="","",IF(ISBLANK(INDIRECT("R12.ServiciosApoyo!D"&amp;SUM(18,38*1,14))),"",INDIRECT("R12.ServiciosApoyo!D"&amp;SUM(18,38*1,14))))</f>
        <v>N/A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N/A</v>
      </c>
      <c r="CR33" s="75" t="str" cm="1">
        <f t="array" aca="1" ref="CR33" ca="1">IF($B33="","",IF(ISBLANK(INDIRECT("R12.ServiciosApoyo!D"&amp;SUM(18,38*4,14))),"",INDIRECT("R12.ServiciosApoyo!D"&amp;SUM(18,38*4,14))))</f>
        <v>N/A</v>
      </c>
      <c r="CU33" s="76"/>
    </row>
    <row r="34" spans="2:99" ht="20.399999999999999">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Voto por correo elector CERA en España</v>
      </c>
      <c r="D34" s="74" t="str" cm="1">
        <f t="array" ref="D34">IFERROR(INDEX('03.Muestra'!$F$8:$F$42,SMALL(IF("Página Web"='03.Muestra'!$D$8:$D$42,ROW('03.Muestra'!$F$8:$F$42)-MIN(ROW('03.Muestra'!$D$8:$D$42))+1,""),ROW()-19)),"")</f>
        <v>https://elecciones.comunidad.madrid/es/preguntas-frecuentes/voto-correo-electores-residentes-extranjero</v>
      </c>
      <c r="E34" s="75" t="str" cm="1">
        <f t="array" aca="1" ref="E34" ca="1">IF($B34="","",IF(ISBLANK(INDIRECT("R5.Genéricos!D"&amp;SUM(18,38*0,15))),"",INDIRECT("R5.Genéricos!D"&amp;SUM(18,38*0,15))))</f>
        <v>Falla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Falla</v>
      </c>
      <c r="AP34" s="75" t="str" cm="1">
        <f t="array" aca="1" ref="AP34" ca="1">IF($B34="","",IF(ISBLANK(INDIRECT("R9.Web!D"&amp;SUM(18,38*6,15))),"",INDIRECT("R9.Web!D"&amp;SUM(18,38*6,15))))</f>
        <v>Falla</v>
      </c>
      <c r="AQ34" s="75" t="str" cm="1">
        <f t="array" aca="1" ref="AQ34" ca="1">IF($B34="","",IF(ISBLANK(INDIRECT("R9.Web!D"&amp;SUM(18,38*7,15))),"",INDIRECT("R9.Web!D"&amp;SUM(18,38*7,15))))</f>
        <v>Falla</v>
      </c>
      <c r="AR34" s="75" t="str" cm="1">
        <f t="array" aca="1" ref="AR34" ca="1">IF($B34="","",IF(ISBLANK(INDIRECT("R9.Web!D"&amp;SUM(18,38*8,15))),"",INDIRECT("R9.Web!D"&amp;SUM(18,38*8,15))))</f>
        <v>Falla</v>
      </c>
      <c r="AS34" s="75" t="str" cm="1">
        <f t="array" aca="1" ref="AS34" ca="1">IF($B34="","",IF(ISBLANK(INDIRECT("R9.Web!D"&amp;SUM(18,38*9,15))),"",INDIRECT("R9.Web!D"&amp;SUM(18,38*9,15))))</f>
        <v>N/A</v>
      </c>
      <c r="AT34" s="75" t="str" cm="1">
        <f t="array" aca="1" ref="AT34" ca="1">IF($B34="","",IF(ISBLANK(INDIRECT("R9.Web!D"&amp;SUM(18,38*10,15))),"",INDIRECT("R9.Web!D"&amp;SUM(18,38*10,15))))</f>
        <v>Pasa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Falla</v>
      </c>
      <c r="AX34" s="75" t="str" cm="1">
        <f t="array" aca="1" ref="AX34" ca="1">IF($B34="","",IF(ISBLANK(INDIRECT("R9.Web!D"&amp;SUM(18,38*14,15))),"",INDIRECT("R9.Web!D"&amp;SUM(18,38*14,15))))</f>
        <v>N/A</v>
      </c>
      <c r="AY34" s="75" t="str" cm="1">
        <f t="array" aca="1" ref="AY34" ca="1">IF($B34="","",IF(ISBLANK(INDIRECT("R9.Web!D"&amp;SUM(18,38*15,15))),"",INDIRECT("R9.Web!D"&amp;SUM(18,38*15,15))))</f>
        <v>Falla</v>
      </c>
      <c r="AZ34" s="75" t="str" cm="1">
        <f t="array" aca="1" ref="AZ34" ca="1">IF($B34="","",IF(ISBLANK(INDIRECT("R9.Web!D"&amp;SUM(18,38*16,15))),"",INDIRECT("R9.Web!D"&amp;SUM(18,38*16,15))))</f>
        <v>Falla</v>
      </c>
      <c r="BA34" s="75" t="str" cm="1">
        <f t="array" aca="1" ref="BA34" ca="1">IF($B34="","",IF(ISBLANK(INDIRECT("R9.Web!D"&amp;SUM(18,38*17,15))),"",INDIRECT("R9.Web!D"&amp;SUM(18,38*17,15))))</f>
        <v>Pasa</v>
      </c>
      <c r="BB34" s="75" t="str" cm="1">
        <f t="array" aca="1" ref="BB34" ca="1">IF($B34="","",IF(ISBLANK(INDIRECT("R9.Web!D"&amp;SUM(18,38*18,15))),"",INDIRECT("R9.Web!D"&amp;SUM(18,38*18,15))))</f>
        <v>Falla</v>
      </c>
      <c r="BC34" s="75" t="str" cm="1">
        <f t="array" aca="1" ref="BC34" ca="1">IF($B34="","",IF(ISBLANK(INDIRECT("R9.Web!D"&amp;SUM(18,38*19,15))),"",INDIRECT("R9.Web!D"&amp;SUM(18,38*19,15))))</f>
        <v>Falla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Pasa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Pasa</v>
      </c>
      <c r="BJ34" s="75" t="str" cm="1">
        <f t="array" aca="1" ref="BJ34" ca="1">IF($B34="","",IF(ISBLANK(INDIRECT("R9.Web!D"&amp;SUM(18,38*26,15))),"",INDIRECT("R9.Web!D"&amp;SUM(18,38*26,15))))</f>
        <v>Pasa</v>
      </c>
      <c r="BK34" s="75" t="str" cm="1">
        <f t="array" aca="1" ref="BK34" ca="1">IF($B34="","",IF(ISBLANK(INDIRECT("R9.Web!D"&amp;SUM(18,38*27,15))),"",INDIRECT("R9.Web!D"&amp;SUM(18,38*27,15))))</f>
        <v>Falla</v>
      </c>
      <c r="BL34" s="75" t="str" cm="1">
        <f t="array" aca="1" ref="BL34" ca="1">IF($B34="","",IF(ISBLANK(INDIRECT("R9.Web!D"&amp;SUM(18,38*28,15))),"",INDIRECT("R9.Web!D"&amp;SUM(18,38*28,15))))</f>
        <v>Falla</v>
      </c>
      <c r="BM34" s="75" t="str" cm="1">
        <f t="array" aca="1" ref="BM34" ca="1">IF($B34="","",IF(ISBLANK(INDIRECT("R9.Web!D"&amp;SUM(18,38*29,15))),"",INDIRECT("R9.Web!D"&amp;SUM(18,38*29,15))))</f>
        <v>Pasa</v>
      </c>
      <c r="BN34" s="75" t="str" cm="1">
        <f t="array" aca="1" ref="BN34" ca="1">IF($B34="","",IF(ISBLANK(INDIRECT("R9.Web!D"&amp;SUM(18,38*30,15))),"",INDIRECT("R9.Web!D"&amp;SUM(18,38*30,15))))</f>
        <v>Pasa</v>
      </c>
      <c r="BO34" s="75" t="str" cm="1">
        <f t="array" aca="1" ref="BO34" ca="1">IF($B34="","",IF(ISBLANK(INDIRECT("R9.Web!D"&amp;SUM(18,38*31,15))),"",INDIRECT("R9.Web!D"&amp;SUM(18,38*31,15))))</f>
        <v>Falla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Falla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Falla</v>
      </c>
      <c r="BY34" s="75" t="str" cm="1">
        <f t="array" aca="1" ref="BY34" ca="1">IF($B34="","",IF(ISBLANK(INDIRECT("R9.Web!D"&amp;SUM(18,38*41,15))),"",INDIRECT("R9.Web!D"&amp;SUM(18,38*41,15))))</f>
        <v>Pasa</v>
      </c>
      <c r="BZ34" s="75" t="str" cm="1">
        <f t="array" aca="1" ref="BZ34" ca="1">IF($B34="","",IF(ISBLANK(INDIRECT("R9.Web!D"&amp;SUM(18,38*42,15))),"",INDIRECT("R9.Web!D"&amp;SUM(18,38*42,15))))</f>
        <v>N/A</v>
      </c>
      <c r="CA34" s="75" t="str" cm="1">
        <f t="array" aca="1" ref="CA34" ca="1">IF($B34="","",IF(ISBLANK(INDIRECT("R9.Web!D"&amp;SUM(18,38*43,15))),"",INDIRECT("R9.Web!D"&amp;SUM(18,38*43,15))))</f>
        <v>Pasa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N/A</v>
      </c>
      <c r="CE34" s="75" t="str" cm="1">
        <f t="array" aca="1" ref="CE34" ca="1">IF($B34="","",IF(ISBLANK(INDIRECT("R9.Web!D"&amp;SUM(18,38*47,15))),"",INDIRECT("R9.Web!D"&amp;SUM(18,38*47,15))))</f>
        <v>Pasa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Falla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N/A</v>
      </c>
      <c r="CO34" s="75" t="str" cm="1">
        <f t="array" aca="1" ref="CO34" ca="1">IF($B34="","",IF(ISBLANK(INDIRECT("R12.ServiciosApoyo!D"&amp;SUM(18,38*1,15))),"",INDIRECT("R12.ServiciosApoyo!D"&amp;SUM(18,38*1,15))))</f>
        <v>N/A</v>
      </c>
      <c r="CP34" s="75" t="str" cm="1">
        <f t="array" aca="1" ref="CP34" ca="1">IF($B34="","",IF(ISBLANK(INDIRECT("R12.ServiciosApoyo!D"&amp;SUM(18,38*2,15))),"",INDIRECT("R12.ServiciosApoyo!D"&amp;SUM(18,38*2,15))))</f>
        <v>N/A</v>
      </c>
      <c r="CQ34" s="75" t="str" cm="1">
        <f t="array" aca="1" ref="CQ34" ca="1">IF($B34="","",IF(ISBLANK(INDIRECT("R12.ServiciosApoyo!D"&amp;SUM(18,38*3,15))),"",INDIRECT("R12.ServiciosApoyo!D"&amp;SUM(18,38*3,15))))</f>
        <v>N/A</v>
      </c>
      <c r="CR34" s="75" t="str" cm="1">
        <f t="array" aca="1" ref="CR34" ca="1">IF($B34="","",IF(ISBLANK(INDIRECT("R12.ServiciosApoyo!D"&amp;SUM(18,38*4,15))),"",INDIRECT("R12.ServiciosApoyo!D"&amp;SUM(18,38*4,15))))</f>
        <v>N/A</v>
      </c>
      <c r="CU34" s="76"/>
    </row>
    <row r="35" spans="2:99" ht="20.399999999999999">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Contacto</v>
      </c>
      <c r="D35" s="74" t="str" cm="1">
        <f t="array" ref="D35">IFERROR(INDEX('03.Muestra'!$F$8:$F$42,SMALL(IF("Página Web"='03.Muestra'!$D$8:$D$42,ROW('03.Muestra'!$F$8:$F$42)-MIN(ROW('03.Muestra'!$D$8:$D$42))+1,""),ROW()-19)),"")</f>
        <v>https://elecciones.comunidad.madrid/es/buzon-de-sugerencias</v>
      </c>
      <c r="E35" s="75" t="str" cm="1">
        <f t="array" aca="1" ref="E35" ca="1">IF($B35="","",IF(ISBLANK(INDIRECT("R5.Genéricos!D"&amp;SUM(18,38*0,16))),"",INDIRECT("R5.Genéricos!D"&amp;SUM(18,38*0,16))))</f>
        <v>N/A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Falla</v>
      </c>
      <c r="AP35" s="75" t="str" cm="1">
        <f t="array" aca="1" ref="AP35" ca="1">IF($B35="","",IF(ISBLANK(INDIRECT("R9.Web!D"&amp;SUM(18,38*6,16))),"",INDIRECT("R9.Web!D"&amp;SUM(18,38*6,16))))</f>
        <v>Falla</v>
      </c>
      <c r="AQ35" s="75" t="str" cm="1">
        <f t="array" aca="1" ref="AQ35" ca="1">IF($B35="","",IF(ISBLANK(INDIRECT("R9.Web!D"&amp;SUM(18,38*7,16))),"",INDIRECT("R9.Web!D"&amp;SUM(18,38*7,16))))</f>
        <v>Falla</v>
      </c>
      <c r="AR35" s="75" t="str" cm="1">
        <f t="array" aca="1" ref="AR35" ca="1">IF($B35="","",IF(ISBLANK(INDIRECT("R9.Web!D"&amp;SUM(18,38*8,16))),"",INDIRECT("R9.Web!D"&amp;SUM(18,38*8,16))))</f>
        <v>Falla</v>
      </c>
      <c r="AS35" s="75" t="str" cm="1">
        <f t="array" aca="1" ref="AS35" ca="1">IF($B35="","",IF(ISBLANK(INDIRECT("R9.Web!D"&amp;SUM(18,38*9,16))),"",INDIRECT("R9.Web!D"&amp;SUM(18,38*9,16))))</f>
        <v>Falla</v>
      </c>
      <c r="AT35" s="75" t="str" cm="1">
        <f t="array" aca="1" ref="AT35" ca="1">IF($B35="","",IF(ISBLANK(INDIRECT("R9.Web!D"&amp;SUM(18,38*10,16))),"",INDIRECT("R9.Web!D"&amp;SUM(18,38*10,16))))</f>
        <v>Falla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Falla</v>
      </c>
      <c r="AX35" s="75" t="str" cm="1">
        <f t="array" aca="1" ref="AX35" ca="1">IF($B35="","",IF(ISBLANK(INDIRECT("R9.Web!D"&amp;SUM(18,38*14,16))),"",INDIRECT("R9.Web!D"&amp;SUM(18,38*14,16))))</f>
        <v>N/A</v>
      </c>
      <c r="AY35" s="75" t="str" cm="1">
        <f t="array" aca="1" ref="AY35" ca="1">IF($B35="","",IF(ISBLANK(INDIRECT("R9.Web!D"&amp;SUM(18,38*15,16))),"",INDIRECT("R9.Web!D"&amp;SUM(18,38*15,16))))</f>
        <v>Falla</v>
      </c>
      <c r="AZ35" s="75" t="str" cm="1">
        <f t="array" aca="1" ref="AZ35" ca="1">IF($B35="","",IF(ISBLANK(INDIRECT("R9.Web!D"&amp;SUM(18,38*16,16))),"",INDIRECT("R9.Web!D"&amp;SUM(18,38*16,16))))</f>
        <v>Falla</v>
      </c>
      <c r="BA35" s="75" t="str" cm="1">
        <f t="array" aca="1" ref="BA35" ca="1">IF($B35="","",IF(ISBLANK(INDIRECT("R9.Web!D"&amp;SUM(18,38*17,16))),"",INDIRECT("R9.Web!D"&amp;SUM(18,38*17,16))))</f>
        <v>Pasa</v>
      </c>
      <c r="BB35" s="75" t="str" cm="1">
        <f t="array" aca="1" ref="BB35" ca="1">IF($B35="","",IF(ISBLANK(INDIRECT("R9.Web!D"&amp;SUM(18,38*18,16))),"",INDIRECT("R9.Web!D"&amp;SUM(18,38*18,16))))</f>
        <v>Falla</v>
      </c>
      <c r="BC35" s="75" t="str" cm="1">
        <f t="array" aca="1" ref="BC35" ca="1">IF($B35="","",IF(ISBLANK(INDIRECT("R9.Web!D"&amp;SUM(18,38*19,16))),"",INDIRECT("R9.Web!D"&amp;SUM(18,38*19,16))))</f>
        <v>Falla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Pasa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Pasa</v>
      </c>
      <c r="BJ35" s="75" t="str" cm="1">
        <f t="array" aca="1" ref="BJ35" ca="1">IF($B35="","",IF(ISBLANK(INDIRECT("R9.Web!D"&amp;SUM(18,38*26,16))),"",INDIRECT("R9.Web!D"&amp;SUM(18,38*26,16))))</f>
        <v>Falla</v>
      </c>
      <c r="BK35" s="75" t="str" cm="1">
        <f t="array" aca="1" ref="BK35" ca="1">IF($B35="","",IF(ISBLANK(INDIRECT("R9.Web!D"&amp;SUM(18,38*27,16))),"",INDIRECT("R9.Web!D"&amp;SUM(18,38*27,16))))</f>
        <v>Falla</v>
      </c>
      <c r="BL35" s="75" t="str" cm="1">
        <f t="array" aca="1" ref="BL35" ca="1">IF($B35="","",IF(ISBLANK(INDIRECT("R9.Web!D"&amp;SUM(18,38*28,16))),"",INDIRECT("R9.Web!D"&amp;SUM(18,38*28,16))))</f>
        <v>Falla</v>
      </c>
      <c r="BM35" s="75" t="str" cm="1">
        <f t="array" aca="1" ref="BM35" ca="1">IF($B35="","",IF(ISBLANK(INDIRECT("R9.Web!D"&amp;SUM(18,38*29,16))),"",INDIRECT("R9.Web!D"&amp;SUM(18,38*29,16))))</f>
        <v>Pasa</v>
      </c>
      <c r="BN35" s="75" t="str" cm="1">
        <f t="array" aca="1" ref="BN35" ca="1">IF($B35="","",IF(ISBLANK(INDIRECT("R9.Web!D"&amp;SUM(18,38*30,16))),"",INDIRECT("R9.Web!D"&amp;SUM(18,38*30,16))))</f>
        <v>Falla</v>
      </c>
      <c r="BO35" s="75" t="str" cm="1">
        <f t="array" aca="1" ref="BO35" ca="1">IF($B35="","",IF(ISBLANK(INDIRECT("R9.Web!D"&amp;SUM(18,38*31,16))),"",INDIRECT("R9.Web!D"&amp;SUM(18,38*31,16))))</f>
        <v>Falla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Falla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Pasa</v>
      </c>
      <c r="BX35" s="75" t="str" cm="1">
        <f t="array" aca="1" ref="BX35" ca="1">IF($B35="","",IF(ISBLANK(INDIRECT("R9.Web!D"&amp;SUM(18,38*40,16))),"",INDIRECT("R9.Web!D"&amp;SUM(18,38*40,16))))</f>
        <v>Falla</v>
      </c>
      <c r="BY35" s="75" t="str" cm="1">
        <f t="array" aca="1" ref="BY35" ca="1">IF($B35="","",IF(ISBLANK(INDIRECT("R9.Web!D"&amp;SUM(18,38*41,16))),"",INDIRECT("R9.Web!D"&amp;SUM(18,38*41,16))))</f>
        <v>Pasa</v>
      </c>
      <c r="BZ35" s="75" t="str" cm="1">
        <f t="array" aca="1" ref="BZ35" ca="1">IF($B35="","",IF(ISBLANK(INDIRECT("R9.Web!D"&amp;SUM(18,38*42,16))),"",INDIRECT("R9.Web!D"&amp;SUM(18,38*42,16))))</f>
        <v>Pasa</v>
      </c>
      <c r="CA35" s="75" t="str" cm="1">
        <f t="array" aca="1" ref="CA35" ca="1">IF($B35="","",IF(ISBLANK(INDIRECT("R9.Web!D"&amp;SUM(18,38*43,16))),"",INDIRECT("R9.Web!D"&amp;SUM(18,38*43,16))))</f>
        <v>Falla</v>
      </c>
      <c r="CB35" s="75" t="str" cm="1">
        <f t="array" aca="1" ref="CB35" ca="1">IF($B35="","",IF(ISBLANK(INDIRECT("R9.Web!D"&amp;SUM(18,38*44,16))),"",INDIRECT("R9.Web!D"&amp;SUM(18,38*44,16))))</f>
        <v>Pasa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Pasa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Falla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N/A</v>
      </c>
      <c r="CO35" s="75" t="str" cm="1">
        <f t="array" aca="1" ref="CO35" ca="1">IF($B35="","",IF(ISBLANK(INDIRECT("R12.ServiciosApoyo!D"&amp;SUM(18,38*1,16))),"",INDIRECT("R12.ServiciosApoyo!D"&amp;SUM(18,38*1,16))))</f>
        <v>N/A</v>
      </c>
      <c r="CP35" s="75" t="str" cm="1">
        <f t="array" aca="1" ref="CP35" ca="1">IF($B35="","",IF(ISBLANK(INDIRECT("R12.ServiciosApoyo!D"&amp;SUM(18,38*2,16))),"",INDIRECT("R12.ServiciosApoyo!D"&amp;SUM(18,38*2,16))))</f>
        <v>N/A</v>
      </c>
      <c r="CQ35" s="75" t="str" cm="1">
        <f t="array" aca="1" ref="CQ35" ca="1">IF($B35="","",IF(ISBLANK(INDIRECT("R12.ServiciosApoyo!D"&amp;SUM(18,38*3,16))),"",INDIRECT("R12.ServiciosApoyo!D"&amp;SUM(18,38*3,16))))</f>
        <v>N/A</v>
      </c>
      <c r="CR35" s="75" t="str" cm="1">
        <f t="array" aca="1" ref="CR35" ca="1">IF($B35="","",IF(ISBLANK(INDIRECT("R12.ServiciosApoyo!D"&amp;SUM(18,38*4,16))),"",INDIRECT("R12.ServiciosApoyo!D"&amp;SUM(18,38*4,16))))</f>
        <v>N/A</v>
      </c>
      <c r="CU35" s="76"/>
    </row>
    <row r="36" spans="2:99" ht="20.399999999999999">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Buscador</v>
      </c>
      <c r="D36" s="74" t="str" cm="1">
        <f t="array" ref="D36">IFERROR(INDEX('03.Muestra'!$F$8:$F$42,SMALL(IF("Página Web"='03.Muestra'!$D$8:$D$42,ROW('03.Muestra'!$F$8:$F$42)-MIN(ROW('03.Muestra'!$D$8:$D$42))+1,""),ROW()-19)),"")</f>
        <v>https://elecciones.comunidad.madrid/es/search?search_api_fulltext=partido</v>
      </c>
      <c r="E36" s="75" t="str" cm="1">
        <f t="array" aca="1" ref="E36" ca="1">IF($B36="","",IF(ISBLANK(INDIRECT("R5.Genéricos!D"&amp;SUM(18,38*0,17))),"",INDIRECT("R5.Genéricos!D"&amp;SUM(18,38*0,17))))</f>
        <v>N/A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Pasa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Falla</v>
      </c>
      <c r="AP36" s="75" t="str" cm="1">
        <f t="array" aca="1" ref="AP36" ca="1">IF($B36="","",IF(ISBLANK(INDIRECT("R9.Web!D"&amp;SUM(18,38*6,17))),"",INDIRECT("R9.Web!D"&amp;SUM(18,38*6,17))))</f>
        <v>Falla</v>
      </c>
      <c r="AQ36" s="75" t="str" cm="1">
        <f t="array" aca="1" ref="AQ36" ca="1">IF($B36="","",IF(ISBLANK(INDIRECT("R9.Web!D"&amp;SUM(18,38*7,17))),"",INDIRECT("R9.Web!D"&amp;SUM(18,38*7,17))))</f>
        <v>Falla</v>
      </c>
      <c r="AR36" s="75" t="str" cm="1">
        <f t="array" aca="1" ref="AR36" ca="1">IF($B36="","",IF(ISBLANK(INDIRECT("R9.Web!D"&amp;SUM(18,38*8,17))),"",INDIRECT("R9.Web!D"&amp;SUM(18,38*8,17))))</f>
        <v>Falla</v>
      </c>
      <c r="AS36" s="75" t="str" cm="1">
        <f t="array" aca="1" ref="AS36" ca="1">IF($B36="","",IF(ISBLANK(INDIRECT("R9.Web!D"&amp;SUM(18,38*9,17))),"",INDIRECT("R9.Web!D"&amp;SUM(18,38*9,17))))</f>
        <v>N/A</v>
      </c>
      <c r="AT36" s="75" t="str" cm="1">
        <f t="array" aca="1" ref="AT36" ca="1">IF($B36="","",IF(ISBLANK(INDIRECT("R9.Web!D"&amp;SUM(18,38*10,17))),"",INDIRECT("R9.Web!D"&amp;SUM(18,38*10,17))))</f>
        <v>Pasa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Falla</v>
      </c>
      <c r="AX36" s="75" t="str" cm="1">
        <f t="array" aca="1" ref="AX36" ca="1">IF($B36="","",IF(ISBLANK(INDIRECT("R9.Web!D"&amp;SUM(18,38*14,17))),"",INDIRECT("R9.Web!D"&amp;SUM(18,38*14,17))))</f>
        <v>N/A</v>
      </c>
      <c r="AY36" s="75" t="str" cm="1">
        <f t="array" aca="1" ref="AY36" ca="1">IF($B36="","",IF(ISBLANK(INDIRECT("R9.Web!D"&amp;SUM(18,38*15,17))),"",INDIRECT("R9.Web!D"&amp;SUM(18,38*15,17))))</f>
        <v>Falla</v>
      </c>
      <c r="AZ36" s="75" t="str" cm="1">
        <f t="array" aca="1" ref="AZ36" ca="1">IF($B36="","",IF(ISBLANK(INDIRECT("R9.Web!D"&amp;SUM(18,38*16,17))),"",INDIRECT("R9.Web!D"&amp;SUM(18,38*16,17))))</f>
        <v>Falla</v>
      </c>
      <c r="BA36" s="75" t="str" cm="1">
        <f t="array" aca="1" ref="BA36" ca="1">IF($B36="","",IF(ISBLANK(INDIRECT("R9.Web!D"&amp;SUM(18,38*17,17))),"",INDIRECT("R9.Web!D"&amp;SUM(18,38*17,17))))</f>
        <v>Pasa</v>
      </c>
      <c r="BB36" s="75" t="str" cm="1">
        <f t="array" aca="1" ref="BB36" ca="1">IF($B36="","",IF(ISBLANK(INDIRECT("R9.Web!D"&amp;SUM(18,38*18,17))),"",INDIRECT("R9.Web!D"&amp;SUM(18,38*18,17))))</f>
        <v>Falla</v>
      </c>
      <c r="BC36" s="75" t="str" cm="1">
        <f t="array" aca="1" ref="BC36" ca="1">IF($B36="","",IF(ISBLANK(INDIRECT("R9.Web!D"&amp;SUM(18,38*19,17))),"",INDIRECT("R9.Web!D"&amp;SUM(18,38*19,17))))</f>
        <v>Falla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Pasa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Pasa</v>
      </c>
      <c r="BJ36" s="75" t="str" cm="1">
        <f t="array" aca="1" ref="BJ36" ca="1">IF($B36="","",IF(ISBLANK(INDIRECT("R9.Web!D"&amp;SUM(18,38*26,17))),"",INDIRECT("R9.Web!D"&amp;SUM(18,38*26,17))))</f>
        <v>Pasa</v>
      </c>
      <c r="BK36" s="75" t="str" cm="1">
        <f t="array" aca="1" ref="BK36" ca="1">IF($B36="","",IF(ISBLANK(INDIRECT("R9.Web!D"&amp;SUM(18,38*27,17))),"",INDIRECT("R9.Web!D"&amp;SUM(18,38*27,17))))</f>
        <v>Falla</v>
      </c>
      <c r="BL36" s="75" t="str" cm="1">
        <f t="array" aca="1" ref="BL36" ca="1">IF($B36="","",IF(ISBLANK(INDIRECT("R9.Web!D"&amp;SUM(18,38*28,17))),"",INDIRECT("R9.Web!D"&amp;SUM(18,38*28,17))))</f>
        <v>Falla</v>
      </c>
      <c r="BM36" s="75" t="str" cm="1">
        <f t="array" aca="1" ref="BM36" ca="1">IF($B36="","",IF(ISBLANK(INDIRECT("R9.Web!D"&amp;SUM(18,38*29,17))),"",INDIRECT("R9.Web!D"&amp;SUM(18,38*29,17))))</f>
        <v>Pasa</v>
      </c>
      <c r="BN36" s="75" t="str" cm="1">
        <f t="array" aca="1" ref="BN36" ca="1">IF($B36="","",IF(ISBLANK(INDIRECT("R9.Web!D"&amp;SUM(18,38*30,17))),"",INDIRECT("R9.Web!D"&amp;SUM(18,38*30,17))))</f>
        <v>Pasa</v>
      </c>
      <c r="BO36" s="75" t="str" cm="1">
        <f t="array" aca="1" ref="BO36" ca="1">IF($B36="","",IF(ISBLANK(INDIRECT("R9.Web!D"&amp;SUM(18,38*31,17))),"",INDIRECT("R9.Web!D"&amp;SUM(18,38*31,17))))</f>
        <v>Falla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Falla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N/A</v>
      </c>
      <c r="BV36" s="75" t="str" cm="1">
        <f t="array" aca="1" ref="BV36" ca="1">IF($B36="","",IF(ISBLANK(INDIRECT("R9.Web!D"&amp;SUM(18,38*38,17))),"",INDIRECT("R9.Web!D"&amp;SUM(18,38*38,17))))</f>
        <v>Pasa</v>
      </c>
      <c r="BW36" s="75" t="str" cm="1">
        <f t="array" aca="1" ref="BW36" ca="1">IF($B36="","",IF(ISBLANK(INDIRECT("R9.Web!D"&amp;SUM(18,38*39,17))),"",INDIRECT("R9.Web!D"&amp;SUM(18,38*39,17))))</f>
        <v>Pasa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N/A</v>
      </c>
      <c r="CA36" s="75" t="str" cm="1">
        <f t="array" aca="1" ref="CA36" ca="1">IF($B36="","",IF(ISBLANK(INDIRECT("R9.Web!D"&amp;SUM(18,38*43,17))),"",INDIRECT("R9.Web!D"&amp;SUM(18,38*43,17))))</f>
        <v>Pasa</v>
      </c>
      <c r="CB36" s="75" t="str" cm="1">
        <f t="array" aca="1" ref="CB36" ca="1">IF($B36="","",IF(ISBLANK(INDIRECT("R9.Web!D"&amp;SUM(18,38*44,17))),"",INDIRECT("R9.Web!D"&amp;SUM(18,38*44,17))))</f>
        <v>N/A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Pasa</v>
      </c>
      <c r="CF36" s="75" t="str" cm="1">
        <f t="array" aca="1" ref="CF36" ca="1">IF($B36="","",IF(ISBLANK(INDIRECT("R9.Web!D"&amp;SUM(18,38*48,17))),"",INDIRECT("R9.Web!D"&amp;SUM(18,38*48,17))))</f>
        <v>N/A</v>
      </c>
      <c r="CG36" s="75" t="str" cm="1">
        <f t="array" aca="1" ref="CG36" ca="1">IF($B36="","",IF(ISBLANK(INDIRECT("R9.Web!D"&amp;SUM(18,38*49,17))),"",INDIRECT("R9.Web!D"&amp;SUM(18,38*49,17))))</f>
        <v>Falla</v>
      </c>
      <c r="CH36" s="75" t="str" cm="1">
        <f t="array" aca="1" ref="CH36" ca="1">IF($B36="","",IF(ISBLANK(INDIRECT("R11.Software!D"&amp;SUM(18,38*0,17))),"",INDIRECT("R11.Software!D"&amp;SUM(18,38*0,17))))</f>
        <v>Falla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N/A</v>
      </c>
      <c r="CO36" s="75" t="str" cm="1">
        <f t="array" aca="1" ref="CO36" ca="1">IF($B36="","",IF(ISBLANK(INDIRECT("R12.ServiciosApoyo!D"&amp;SUM(18,38*1,17))),"",INDIRECT("R12.ServiciosApoyo!D"&amp;SUM(18,38*1,17))))</f>
        <v>N/A</v>
      </c>
      <c r="CP36" s="75" t="str" cm="1">
        <f t="array" aca="1" ref="CP36" ca="1">IF($B36="","",IF(ISBLANK(INDIRECT("R12.ServiciosApoyo!D"&amp;SUM(18,38*2,17))),"",INDIRECT("R12.ServiciosApoyo!D"&amp;SUM(18,38*2,17))))</f>
        <v>N/A</v>
      </c>
      <c r="CQ36" s="75" t="str" cm="1">
        <f t="array" aca="1" ref="CQ36" ca="1">IF($B36="","",IF(ISBLANK(INDIRECT("R12.ServiciosApoyo!D"&amp;SUM(18,38*3,17))),"",INDIRECT("R12.ServiciosApoyo!D"&amp;SUM(18,38*3,17))))</f>
        <v>N/A</v>
      </c>
      <c r="CR36" s="75" t="str" cm="1">
        <f t="array" aca="1" ref="CR36" ca="1">IF($B36="","",IF(ISBLANK(INDIRECT("R12.ServiciosApoyo!D"&amp;SUM(18,38*4,17))),"",INDIRECT("R12.ServiciosApoyo!D"&amp;SUM(18,38*4,17))))</f>
        <v>N/A</v>
      </c>
      <c r="CU36" s="76"/>
    </row>
    <row r="37" spans="2:99" ht="20.399999999999999">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Aviso Legal-Privacidad</v>
      </c>
      <c r="D37" s="74" t="str" cm="1">
        <f t="array" ref="D37">IFERROR(INDEX('03.Muestra'!$F$8:$F$42,SMALL(IF("Página Web"='03.Muestra'!$D$8:$D$42,ROW('03.Muestra'!$F$8:$F$42)-MIN(ROW('03.Muestra'!$D$8:$D$42))+1,""),ROW()-19)),"")</f>
        <v>https://elecciones.comunidad.madrid/es/aviso-legal</v>
      </c>
      <c r="E37" s="75" t="str" cm="1">
        <f t="array" aca="1" ref="E37" ca="1">IF($B37="","",IF(ISBLANK(INDIRECT("R5.Genéricos!D"&amp;SUM(18,38*0,18))),"",INDIRECT("R5.Genéricos!D"&amp;SUM(18,38*0,18))))</f>
        <v>Falla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Pasa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Falla</v>
      </c>
      <c r="AP37" s="75" t="str" cm="1">
        <f t="array" aca="1" ref="AP37" ca="1">IF($B37="","",IF(ISBLANK(INDIRECT("R9.Web!D"&amp;SUM(18,38*6,18))),"",INDIRECT("R9.Web!D"&amp;SUM(18,38*6,18))))</f>
        <v>Falla</v>
      </c>
      <c r="AQ37" s="75" t="str" cm="1">
        <f t="array" aca="1" ref="AQ37" ca="1">IF($B37="","",IF(ISBLANK(INDIRECT("R9.Web!D"&amp;SUM(18,38*7,18))),"",INDIRECT("R9.Web!D"&amp;SUM(18,38*7,18))))</f>
        <v>Falla</v>
      </c>
      <c r="AR37" s="75" t="str" cm="1">
        <f t="array" aca="1" ref="AR37" ca="1">IF($B37="","",IF(ISBLANK(INDIRECT("R9.Web!D"&amp;SUM(18,38*8,18))),"",INDIRECT("R9.Web!D"&amp;SUM(18,38*8,18))))</f>
        <v>Falla</v>
      </c>
      <c r="AS37" s="75" t="str" cm="1">
        <f t="array" aca="1" ref="AS37" ca="1">IF($B37="","",IF(ISBLANK(INDIRECT("R9.Web!D"&amp;SUM(18,38*9,18))),"",INDIRECT("R9.Web!D"&amp;SUM(18,38*9,18))))</f>
        <v>N/A</v>
      </c>
      <c r="AT37" s="75" t="str" cm="1">
        <f t="array" aca="1" ref="AT37" ca="1">IF($B37="","",IF(ISBLANK(INDIRECT("R9.Web!D"&amp;SUM(18,38*10,18))),"",INDIRECT("R9.Web!D"&amp;SUM(18,38*10,18))))</f>
        <v>Pasa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Falla</v>
      </c>
      <c r="AX37" s="75" t="str" cm="1">
        <f t="array" aca="1" ref="AX37" ca="1">IF($B37="","",IF(ISBLANK(INDIRECT("R9.Web!D"&amp;SUM(18,38*14,18))),"",INDIRECT("R9.Web!D"&amp;SUM(18,38*14,18))))</f>
        <v>N/A</v>
      </c>
      <c r="AY37" s="75" t="str" cm="1">
        <f t="array" aca="1" ref="AY37" ca="1">IF($B37="","",IF(ISBLANK(INDIRECT("R9.Web!D"&amp;SUM(18,38*15,18))),"",INDIRECT("R9.Web!D"&amp;SUM(18,38*15,18))))</f>
        <v>Falla</v>
      </c>
      <c r="AZ37" s="75" t="str" cm="1">
        <f t="array" aca="1" ref="AZ37" ca="1">IF($B37="","",IF(ISBLANK(INDIRECT("R9.Web!D"&amp;SUM(18,38*16,18))),"",INDIRECT("R9.Web!D"&amp;SUM(18,38*16,18))))</f>
        <v>Falla</v>
      </c>
      <c r="BA37" s="75" t="str" cm="1">
        <f t="array" aca="1" ref="BA37" ca="1">IF($B37="","",IF(ISBLANK(INDIRECT("R9.Web!D"&amp;SUM(18,38*17,18))),"",INDIRECT("R9.Web!D"&amp;SUM(18,38*17,18))))</f>
        <v>Pasa</v>
      </c>
      <c r="BB37" s="75" t="str" cm="1">
        <f t="array" aca="1" ref="BB37" ca="1">IF($B37="","",IF(ISBLANK(INDIRECT("R9.Web!D"&amp;SUM(18,38*18,18))),"",INDIRECT("R9.Web!D"&amp;SUM(18,38*18,18))))</f>
        <v>Falla</v>
      </c>
      <c r="BC37" s="75" t="str" cm="1">
        <f t="array" aca="1" ref="BC37" ca="1">IF($B37="","",IF(ISBLANK(INDIRECT("R9.Web!D"&amp;SUM(18,38*19,18))),"",INDIRECT("R9.Web!D"&amp;SUM(18,38*19,18))))</f>
        <v>Falla</v>
      </c>
      <c r="BD37" s="75" t="str" cm="1">
        <f t="array" aca="1" ref="BD37" ca="1">IF($B37="","",IF(ISBLANK(INDIRECT("R9.Web!D"&amp;SUM(18,38*20,18))),"",INDIRECT("R9.Web!D"&amp;SUM(18,38*20,18))))</f>
        <v>Pasa</v>
      </c>
      <c r="BE37" s="75" t="str" cm="1">
        <f t="array" aca="1" ref="BE37" ca="1">IF($B37="","",IF(ISBLANK(INDIRECT("R9.Web!D"&amp;SUM(18,38*21,18))),"",INDIRECT("R9.Web!D"&amp;SUM(18,38*21,18))))</f>
        <v>N/A</v>
      </c>
      <c r="BF37" s="75" t="str" cm="1">
        <f t="array" aca="1" ref="BF37" ca="1">IF($B37="","",IF(ISBLANK(INDIRECT("R9.Web!D"&amp;SUM(18,38*22,18))),"",INDIRECT("R9.Web!D"&amp;SUM(18,38*22,18))))</f>
        <v>Pasa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Pasa</v>
      </c>
      <c r="BJ37" s="75" t="str" cm="1">
        <f t="array" aca="1" ref="BJ37" ca="1">IF($B37="","",IF(ISBLANK(INDIRECT("R9.Web!D"&amp;SUM(18,38*26,18))),"",INDIRECT("R9.Web!D"&amp;SUM(18,38*26,18))))</f>
        <v>Pasa</v>
      </c>
      <c r="BK37" s="75" t="str" cm="1">
        <f t="array" aca="1" ref="BK37" ca="1">IF($B37="","",IF(ISBLANK(INDIRECT("R9.Web!D"&amp;SUM(18,38*27,18))),"",INDIRECT("R9.Web!D"&amp;SUM(18,38*27,18))))</f>
        <v>Falla</v>
      </c>
      <c r="BL37" s="75" t="str" cm="1">
        <f t="array" aca="1" ref="BL37" ca="1">IF($B37="","",IF(ISBLANK(INDIRECT("R9.Web!D"&amp;SUM(18,38*28,18))),"",INDIRECT("R9.Web!D"&amp;SUM(18,38*28,18))))</f>
        <v>Falla</v>
      </c>
      <c r="BM37" s="75" t="str" cm="1">
        <f t="array" aca="1" ref="BM37" ca="1">IF($B37="","",IF(ISBLANK(INDIRECT("R9.Web!D"&amp;SUM(18,38*29,18))),"",INDIRECT("R9.Web!D"&amp;SUM(18,38*29,18))))</f>
        <v>Pasa</v>
      </c>
      <c r="BN37" s="75" t="str" cm="1">
        <f t="array" aca="1" ref="BN37" ca="1">IF($B37="","",IF(ISBLANK(INDIRECT("R9.Web!D"&amp;SUM(18,38*30,18))),"",INDIRECT("R9.Web!D"&amp;SUM(18,38*30,18))))</f>
        <v>Pasa</v>
      </c>
      <c r="BO37" s="75" t="str" cm="1">
        <f t="array" aca="1" ref="BO37" ca="1">IF($B37="","",IF(ISBLANK(INDIRECT("R9.Web!D"&amp;SUM(18,38*31,18))),"",INDIRECT("R9.Web!D"&amp;SUM(18,38*31,18))))</f>
        <v>Falla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Falla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N/A</v>
      </c>
      <c r="BV37" s="75" t="str" cm="1">
        <f t="array" aca="1" ref="BV37" ca="1">IF($B37="","",IF(ISBLANK(INDIRECT("R9.Web!D"&amp;SUM(18,38*38,18))),"",INDIRECT("R9.Web!D"&amp;SUM(18,38*38,18))))</f>
        <v>Pasa</v>
      </c>
      <c r="BW37" s="75" t="str" cm="1">
        <f t="array" aca="1" ref="BW37" ca="1">IF($B37="","",IF(ISBLANK(INDIRECT("R9.Web!D"&amp;SUM(18,38*39,18))),"",INDIRECT("R9.Web!D"&amp;SUM(18,38*39,18))))</f>
        <v>Pasa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Pasa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Pasa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Falla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N/A</v>
      </c>
      <c r="CO37" s="75" t="str" cm="1">
        <f t="array" aca="1" ref="CO37" ca="1">IF($B37="","",IF(ISBLANK(INDIRECT("R12.ServiciosApoyo!D"&amp;SUM(18,38*1,18))),"",INDIRECT("R12.ServiciosApoyo!D"&amp;SUM(18,38*1,18))))</f>
        <v>N/A</v>
      </c>
      <c r="CP37" s="75" t="str" cm="1">
        <f t="array" aca="1" ref="CP37" ca="1">IF($B37="","",IF(ISBLANK(INDIRECT("R12.ServiciosApoyo!D"&amp;SUM(18,38*2,18))),"",INDIRECT("R12.ServiciosApoyo!D"&amp;SUM(18,38*2,18))))</f>
        <v>N/A</v>
      </c>
      <c r="CQ37" s="75" t="str" cm="1">
        <f t="array" aca="1" ref="CQ37" ca="1">IF($B37="","",IF(ISBLANK(INDIRECT("R12.ServiciosApoyo!D"&amp;SUM(18,38*3,18))),"",INDIRECT("R12.ServiciosApoyo!D"&amp;SUM(18,38*3,18))))</f>
        <v>N/A</v>
      </c>
      <c r="CR37" s="75" t="str" cm="1">
        <f t="array" aca="1" ref="CR37" ca="1">IF($B37="","",IF(ISBLANK(INDIRECT("R12.ServiciosApoyo!D"&amp;SUM(18,38*4,18))),"",INDIRECT("R12.ServiciosApoyo!D"&amp;SUM(18,38*4,18))))</f>
        <v>N/A</v>
      </c>
      <c r="CU37" s="76"/>
    </row>
    <row r="38" spans="2:99" ht="20.399999999999999">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Mapa Web</v>
      </c>
      <c r="D38" s="74" t="str" cm="1">
        <f t="array" ref="D38">IFERROR(INDEX('03.Muestra'!$F$8:$F$42,SMALL(IF("Página Web"='03.Muestra'!$D$8:$D$42,ROW('03.Muestra'!$F$8:$F$42)-MIN(ROW('03.Muestra'!$D$8:$D$42))+1,""),ROW()-19)),"")</f>
        <v>https://elecciones.comunidad.madrid/es/sitemap</v>
      </c>
      <c r="E38" s="75" t="str" cm="1">
        <f t="array" aca="1" ref="E38" ca="1">IF($B38="","",IF(ISBLANK(INDIRECT("R5.Genéricos!D"&amp;SUM(18,38*0,19))),"",INDIRECT("R5.Genéricos!D"&amp;SUM(18,38*0,19))))</f>
        <v>N/A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Pasa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Falla</v>
      </c>
      <c r="AP38" s="75" t="str" cm="1">
        <f t="array" aca="1" ref="AP38" ca="1">IF($B38="","",IF(ISBLANK(INDIRECT("R9.Web!D"&amp;SUM(18,38*6,19))),"",INDIRECT("R9.Web!D"&amp;SUM(18,38*6,19))))</f>
        <v>Falla</v>
      </c>
      <c r="AQ38" s="75" t="str" cm="1">
        <f t="array" aca="1" ref="AQ38" ca="1">IF($B38="","",IF(ISBLANK(INDIRECT("R9.Web!D"&amp;SUM(18,38*7,19))),"",INDIRECT("R9.Web!D"&amp;SUM(18,38*7,19))))</f>
        <v>Falla</v>
      </c>
      <c r="AR38" s="75" t="str" cm="1">
        <f t="array" aca="1" ref="AR38" ca="1">IF($B38="","",IF(ISBLANK(INDIRECT("R9.Web!D"&amp;SUM(18,38*8,19))),"",INDIRECT("R9.Web!D"&amp;SUM(18,38*8,19))))</f>
        <v>Falla</v>
      </c>
      <c r="AS38" s="75" t="str" cm="1">
        <f t="array" aca="1" ref="AS38" ca="1">IF($B38="","",IF(ISBLANK(INDIRECT("R9.Web!D"&amp;SUM(18,38*9,19))),"",INDIRECT("R9.Web!D"&amp;SUM(18,38*9,19))))</f>
        <v>N/A</v>
      </c>
      <c r="AT38" s="75" t="str" cm="1">
        <f t="array" aca="1" ref="AT38" ca="1">IF($B38="","",IF(ISBLANK(INDIRECT("R9.Web!D"&amp;SUM(18,38*10,19))),"",INDIRECT("R9.Web!D"&amp;SUM(18,38*10,19))))</f>
        <v>Pasa</v>
      </c>
      <c r="AU38" s="75" t="str" cm="1">
        <f t="array" aca="1" ref="AU38" ca="1">IF($B38="","",IF(ISBLANK(INDIRECT("R9.Web!D"&amp;SUM(18,38*11,19))),"",INDIRECT("R9.Web!D"&amp;SUM(18,38*11,19))))</f>
        <v>N/A</v>
      </c>
      <c r="AV38" s="75" t="str" cm="1">
        <f t="array" aca="1" ref="AV38" ca="1">IF($B38="","",IF(ISBLANK(INDIRECT("R9.Web!D"&amp;SUM(18,38*12,19))),"",INDIRECT("R9.Web!D"&amp;SUM(18,38*12,19))))</f>
        <v>Pasa</v>
      </c>
      <c r="AW38" s="75" t="str" cm="1">
        <f t="array" aca="1" ref="AW38" ca="1">IF($B38="","",IF(ISBLANK(INDIRECT("R9.Web!D"&amp;SUM(18,38*13,19))),"",INDIRECT("R9.Web!D"&amp;SUM(18,38*13,19))))</f>
        <v>Falla</v>
      </c>
      <c r="AX38" s="75" t="str" cm="1">
        <f t="array" aca="1" ref="AX38" ca="1">IF($B38="","",IF(ISBLANK(INDIRECT("R9.Web!D"&amp;SUM(18,38*14,19))),"",INDIRECT("R9.Web!D"&amp;SUM(18,38*14,19))))</f>
        <v>N/A</v>
      </c>
      <c r="AY38" s="75" t="str" cm="1">
        <f t="array" aca="1" ref="AY38" ca="1">IF($B38="","",IF(ISBLANK(INDIRECT("R9.Web!D"&amp;SUM(18,38*15,19))),"",INDIRECT("R9.Web!D"&amp;SUM(18,38*15,19))))</f>
        <v>Falla</v>
      </c>
      <c r="AZ38" s="75" t="str" cm="1">
        <f t="array" aca="1" ref="AZ38" ca="1">IF($B38="","",IF(ISBLANK(INDIRECT("R9.Web!D"&amp;SUM(18,38*16,19))),"",INDIRECT("R9.Web!D"&amp;SUM(18,38*16,19))))</f>
        <v>Falla</v>
      </c>
      <c r="BA38" s="75" t="str" cm="1">
        <f t="array" aca="1" ref="BA38" ca="1">IF($B38="","",IF(ISBLANK(INDIRECT("R9.Web!D"&amp;SUM(18,38*17,19))),"",INDIRECT("R9.Web!D"&amp;SUM(18,38*17,19))))</f>
        <v>Pasa</v>
      </c>
      <c r="BB38" s="75" t="str" cm="1">
        <f t="array" aca="1" ref="BB38" ca="1">IF($B38="","",IF(ISBLANK(INDIRECT("R9.Web!D"&amp;SUM(18,38*18,19))),"",INDIRECT("R9.Web!D"&amp;SUM(18,38*18,19))))</f>
        <v>Falla</v>
      </c>
      <c r="BC38" s="75" t="str" cm="1">
        <f t="array" aca="1" ref="BC38" ca="1">IF($B38="","",IF(ISBLANK(INDIRECT("R9.Web!D"&amp;SUM(18,38*19,19))),"",INDIRECT("R9.Web!D"&amp;SUM(18,38*19,19))))</f>
        <v>Falla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Pasa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Pasa</v>
      </c>
      <c r="BJ38" s="75" t="str" cm="1">
        <f t="array" aca="1" ref="BJ38" ca="1">IF($B38="","",IF(ISBLANK(INDIRECT("R9.Web!D"&amp;SUM(18,38*26,19))),"",INDIRECT("R9.Web!D"&amp;SUM(18,38*26,19))))</f>
        <v>Pasa</v>
      </c>
      <c r="BK38" s="75" t="str" cm="1">
        <f t="array" aca="1" ref="BK38" ca="1">IF($B38="","",IF(ISBLANK(INDIRECT("R9.Web!D"&amp;SUM(18,38*27,19))),"",INDIRECT("R9.Web!D"&amp;SUM(18,38*27,19))))</f>
        <v>Falla</v>
      </c>
      <c r="BL38" s="75" t="str" cm="1">
        <f t="array" aca="1" ref="BL38" ca="1">IF($B38="","",IF(ISBLANK(INDIRECT("R9.Web!D"&amp;SUM(18,38*28,19))),"",INDIRECT("R9.Web!D"&amp;SUM(18,38*28,19))))</f>
        <v>Falla</v>
      </c>
      <c r="BM38" s="75" t="str" cm="1">
        <f t="array" aca="1" ref="BM38" ca="1">IF($B38="","",IF(ISBLANK(INDIRECT("R9.Web!D"&amp;SUM(18,38*29,19))),"",INDIRECT("R9.Web!D"&amp;SUM(18,38*29,19))))</f>
        <v>Pasa</v>
      </c>
      <c r="BN38" s="75" t="str" cm="1">
        <f t="array" aca="1" ref="BN38" ca="1">IF($B38="","",IF(ISBLANK(INDIRECT("R9.Web!D"&amp;SUM(18,38*30,19))),"",INDIRECT("R9.Web!D"&amp;SUM(18,38*30,19))))</f>
        <v>Pasa</v>
      </c>
      <c r="BO38" s="75" t="str" cm="1">
        <f t="array" aca="1" ref="BO38" ca="1">IF($B38="","",IF(ISBLANK(INDIRECT("R9.Web!D"&amp;SUM(18,38*31,19))),"",INDIRECT("R9.Web!D"&amp;SUM(18,38*31,19))))</f>
        <v>Falla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Falla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N/A</v>
      </c>
      <c r="BV38" s="75" t="str" cm="1">
        <f t="array" aca="1" ref="BV38" ca="1">IF($B38="","",IF(ISBLANK(INDIRECT("R9.Web!D"&amp;SUM(18,38*38,19))),"",INDIRECT("R9.Web!D"&amp;SUM(18,38*38,19))))</f>
        <v>Pasa</v>
      </c>
      <c r="BW38" s="75" t="str" cm="1">
        <f t="array" aca="1" ref="BW38" ca="1">IF($B38="","",IF(ISBLANK(INDIRECT("R9.Web!D"&amp;SUM(18,38*39,19))),"",INDIRECT("R9.Web!D"&amp;SUM(18,38*39,19))))</f>
        <v>Pasa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Pasa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Pasa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Falla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N/A</v>
      </c>
      <c r="CO38" s="75" t="str" cm="1">
        <f t="array" aca="1" ref="CO38" ca="1">IF($B38="","",IF(ISBLANK(INDIRECT("R12.ServiciosApoyo!D"&amp;SUM(18,38*1,19))),"",INDIRECT("R12.ServiciosApoyo!D"&amp;SUM(18,38*1,19))))</f>
        <v>N/A</v>
      </c>
      <c r="CP38" s="75" t="str" cm="1">
        <f t="array" aca="1" ref="CP38" ca="1">IF($B38="","",IF(ISBLANK(INDIRECT("R12.ServiciosApoyo!D"&amp;SUM(18,38*2,19))),"",INDIRECT("R12.ServiciosApoyo!D"&amp;SUM(18,38*2,19))))</f>
        <v>N/A</v>
      </c>
      <c r="CQ38" s="75" t="str" cm="1">
        <f t="array" aca="1" ref="CQ38" ca="1">IF($B38="","",IF(ISBLANK(INDIRECT("R12.ServiciosApoyo!D"&amp;SUM(18,38*3,19))),"",INDIRECT("R12.ServiciosApoyo!D"&amp;SUM(18,38*3,19))))</f>
        <v>N/A</v>
      </c>
      <c r="CR38" s="75" t="str" cm="1">
        <f t="array" aca="1" ref="CR38" ca="1">IF($B38="","",IF(ISBLANK(INDIRECT("R12.ServiciosApoyo!D"&amp;SUM(18,38*4,19))),"",INDIRECT("R12.ServiciosApoyo!D"&amp;SUM(18,38*4,19))))</f>
        <v>N/A</v>
      </c>
      <c r="CU38" s="76"/>
    </row>
    <row r="39" spans="2:99" ht="20.399999999999999">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Declaracion Accesibilidad</v>
      </c>
      <c r="D39" s="74" t="str" cm="1">
        <f t="array" ref="D39">IFERROR(INDEX('03.Muestra'!$F$8:$F$42,SMALL(IF("Página Web"='03.Muestra'!$D$8:$D$42,ROW('03.Muestra'!$F$8:$F$42)-MIN(ROW('03.Muestra'!$D$8:$D$42))+1,""),ROW()-19)),"")</f>
        <v>https://elecciones.comunidad.madrid/es/accesibilidad</v>
      </c>
      <c r="E39" s="75" t="str" cm="1">
        <f t="array" aca="1" ref="E39" ca="1">IF($B39="","",IF(ISBLANK(INDIRECT("R5.Genéricos!D"&amp;SUM(18,38*0,20))),"",INDIRECT("R5.Genéricos!D"&amp;SUM(18,38*0,20))))</f>
        <v>Falla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Pasa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Falla</v>
      </c>
      <c r="AP39" s="75" t="str" cm="1">
        <f t="array" aca="1" ref="AP39" ca="1">IF($B39="","",IF(ISBLANK(INDIRECT("R9.Web!D"&amp;SUM(18,38*6,20))),"",INDIRECT("R9.Web!D"&amp;SUM(18,38*6,20))))</f>
        <v>Falla</v>
      </c>
      <c r="AQ39" s="75" t="str" cm="1">
        <f t="array" aca="1" ref="AQ39" ca="1">IF($B39="","",IF(ISBLANK(INDIRECT("R9.Web!D"&amp;SUM(18,38*7,20))),"",INDIRECT("R9.Web!D"&amp;SUM(18,38*7,20))))</f>
        <v>Falla</v>
      </c>
      <c r="AR39" s="75" t="str" cm="1">
        <f t="array" aca="1" ref="AR39" ca="1">IF($B39="","",IF(ISBLANK(INDIRECT("R9.Web!D"&amp;SUM(18,38*8,20))),"",INDIRECT("R9.Web!D"&amp;SUM(18,38*8,20))))</f>
        <v>Falla</v>
      </c>
      <c r="AS39" s="75" t="str" cm="1">
        <f t="array" aca="1" ref="AS39" ca="1">IF($B39="","",IF(ISBLANK(INDIRECT("R9.Web!D"&amp;SUM(18,38*9,20))),"",INDIRECT("R9.Web!D"&amp;SUM(18,38*9,20))))</f>
        <v>N/A</v>
      </c>
      <c r="AT39" s="75" t="str" cm="1">
        <f t="array" aca="1" ref="AT39" ca="1">IF($B39="","",IF(ISBLANK(INDIRECT("R9.Web!D"&amp;SUM(18,38*10,20))),"",INDIRECT("R9.Web!D"&amp;SUM(18,38*10,20))))</f>
        <v>Pasa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Falla</v>
      </c>
      <c r="AX39" s="75" t="str" cm="1">
        <f t="array" aca="1" ref="AX39" ca="1">IF($B39="","",IF(ISBLANK(INDIRECT("R9.Web!D"&amp;SUM(18,38*14,20))),"",INDIRECT("R9.Web!D"&amp;SUM(18,38*14,20))))</f>
        <v>N/A</v>
      </c>
      <c r="AY39" s="75" t="str" cm="1">
        <f t="array" aca="1" ref="AY39" ca="1">IF($B39="","",IF(ISBLANK(INDIRECT("R9.Web!D"&amp;SUM(18,38*15,20))),"",INDIRECT("R9.Web!D"&amp;SUM(18,38*15,20))))</f>
        <v>Falla</v>
      </c>
      <c r="AZ39" s="75" t="str" cm="1">
        <f t="array" aca="1" ref="AZ39" ca="1">IF($B39="","",IF(ISBLANK(INDIRECT("R9.Web!D"&amp;SUM(18,38*16,20))),"",INDIRECT("R9.Web!D"&amp;SUM(18,38*16,20))))</f>
        <v>Falla</v>
      </c>
      <c r="BA39" s="75" t="str" cm="1">
        <f t="array" aca="1" ref="BA39" ca="1">IF($B39="","",IF(ISBLANK(INDIRECT("R9.Web!D"&amp;SUM(18,38*17,20))),"",INDIRECT("R9.Web!D"&amp;SUM(18,38*17,20))))</f>
        <v>Pasa</v>
      </c>
      <c r="BB39" s="75" t="str" cm="1">
        <f t="array" aca="1" ref="BB39" ca="1">IF($B39="","",IF(ISBLANK(INDIRECT("R9.Web!D"&amp;SUM(18,38*18,20))),"",INDIRECT("R9.Web!D"&amp;SUM(18,38*18,20))))</f>
        <v>Falla</v>
      </c>
      <c r="BC39" s="75" t="str" cm="1">
        <f t="array" aca="1" ref="BC39" ca="1">IF($B39="","",IF(ISBLANK(INDIRECT("R9.Web!D"&amp;SUM(18,38*19,20))),"",INDIRECT("R9.Web!D"&amp;SUM(18,38*19,20))))</f>
        <v>Falla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Pasa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Pasa</v>
      </c>
      <c r="BJ39" s="75" t="str" cm="1">
        <f t="array" aca="1" ref="BJ39" ca="1">IF($B39="","",IF(ISBLANK(INDIRECT("R9.Web!D"&amp;SUM(18,38*26,20))),"",INDIRECT("R9.Web!D"&amp;SUM(18,38*26,20))))</f>
        <v>Pasa</v>
      </c>
      <c r="BK39" s="75" t="str" cm="1">
        <f t="array" aca="1" ref="BK39" ca="1">IF($B39="","",IF(ISBLANK(INDIRECT("R9.Web!D"&amp;SUM(18,38*27,20))),"",INDIRECT("R9.Web!D"&amp;SUM(18,38*27,20))))</f>
        <v>Falla</v>
      </c>
      <c r="BL39" s="75" t="str" cm="1">
        <f t="array" aca="1" ref="BL39" ca="1">IF($B39="","",IF(ISBLANK(INDIRECT("R9.Web!D"&amp;SUM(18,38*28,20))),"",INDIRECT("R9.Web!D"&amp;SUM(18,38*28,20))))</f>
        <v>Falla</v>
      </c>
      <c r="BM39" s="75" t="str" cm="1">
        <f t="array" aca="1" ref="BM39" ca="1">IF($B39="","",IF(ISBLANK(INDIRECT("R9.Web!D"&amp;SUM(18,38*29,20))),"",INDIRECT("R9.Web!D"&amp;SUM(18,38*29,20))))</f>
        <v>Pasa</v>
      </c>
      <c r="BN39" s="75" t="str" cm="1">
        <f t="array" aca="1" ref="BN39" ca="1">IF($B39="","",IF(ISBLANK(INDIRECT("R9.Web!D"&amp;SUM(18,38*30,20))),"",INDIRECT("R9.Web!D"&amp;SUM(18,38*30,20))))</f>
        <v>Pasa</v>
      </c>
      <c r="BO39" s="75" t="str" cm="1">
        <f t="array" aca="1" ref="BO39" ca="1">IF($B39="","",IF(ISBLANK(INDIRECT("R9.Web!D"&amp;SUM(18,38*31,20))),"",INDIRECT("R9.Web!D"&amp;SUM(18,38*31,20))))</f>
        <v>Falla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Falla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N/A</v>
      </c>
      <c r="BV39" s="75" t="str" cm="1">
        <f t="array" aca="1" ref="BV39" ca="1">IF($B39="","",IF(ISBLANK(INDIRECT("R9.Web!D"&amp;SUM(18,38*38,20))),"",INDIRECT("R9.Web!D"&amp;SUM(18,38*38,20))))</f>
        <v>Pasa</v>
      </c>
      <c r="BW39" s="75" t="str" cm="1">
        <f t="array" aca="1" ref="BW39" ca="1">IF($B39="","",IF(ISBLANK(INDIRECT("R9.Web!D"&amp;SUM(18,38*39,20))),"",INDIRECT("R9.Web!D"&amp;SUM(18,38*39,20))))</f>
        <v>Pasa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Pasa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Pasa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Falla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Falla</v>
      </c>
      <c r="CO39" s="75" t="str" cm="1">
        <f t="array" aca="1" ref="CO39" ca="1">IF($B39="","",IF(ISBLANK(INDIRECT("R12.ServiciosApoyo!D"&amp;SUM(18,38*1,20))),"",INDIRECT("R12.ServiciosApoyo!D"&amp;SUM(18,38*1,20))))</f>
        <v>Falla</v>
      </c>
      <c r="CP39" s="75" t="str" cm="1">
        <f t="array" aca="1" ref="CP39" ca="1">IF($B39="","",IF(ISBLANK(INDIRECT("R12.ServiciosApoyo!D"&amp;SUM(18,38*2,20))),"",INDIRECT("R12.ServiciosApoyo!D"&amp;SUM(18,38*2,20))))</f>
        <v>Falla</v>
      </c>
      <c r="CQ39" s="75" t="str" cm="1">
        <f t="array" aca="1" ref="CQ39" ca="1">IF($B39="","",IF(ISBLANK(INDIRECT("R12.ServiciosApoyo!D"&amp;SUM(18,38*3,20))),"",INDIRECT("R12.ServiciosApoyo!D"&amp;SUM(18,38*3,20))))</f>
        <v>Pasa</v>
      </c>
      <c r="CR39" s="75" t="str" cm="1">
        <f t="array" aca="1" ref="CR39" ca="1">IF($B39="","",IF(ISBLANK(INDIRECT("R12.ServiciosApoyo!D"&amp;SUM(18,38*4,20))),"",INDIRECT("R12.ServiciosApoyo!D"&amp;SUM(18,38*4,20))))</f>
        <v>Falla</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344</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NO CONFORME</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NO CONFORME</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CONFORME</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NO 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CONFORME</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NO 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NO 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399999999999999">
      <c r="AI56" s="76"/>
    </row>
    <row r="58" spans="2:99" ht="30.75" customHeight="1" thickBot="1">
      <c r="B58" s="239" t="s">
        <v>346</v>
      </c>
      <c r="C58" s="239"/>
      <c r="D58" s="239"/>
    </row>
    <row r="59" spans="2:99" ht="23.25" customHeight="1">
      <c r="B59" s="233" t="s">
        <v>352</v>
      </c>
      <c r="C59" s="234"/>
      <c r="D59" s="235"/>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181</v>
      </c>
      <c r="C60" s="72" t="s">
        <v>353</v>
      </c>
      <c r="D60" s="72" t="s">
        <v>447</v>
      </c>
      <c r="E60" s="72" t="s">
        <v>448</v>
      </c>
      <c r="F60" s="72" t="s">
        <v>449</v>
      </c>
      <c r="G60" s="72" t="s">
        <v>450</v>
      </c>
      <c r="H60" s="72" t="s">
        <v>451</v>
      </c>
      <c r="I60" s="72" t="s">
        <v>452</v>
      </c>
      <c r="J60" s="72" t="s">
        <v>453</v>
      </c>
      <c r="K60" s="72" t="s">
        <v>454</v>
      </c>
      <c r="L60" s="72" t="s">
        <v>455</v>
      </c>
      <c r="M60" s="72" t="s">
        <v>456</v>
      </c>
      <c r="N60" s="72" t="s">
        <v>457</v>
      </c>
      <c r="O60" s="72" t="s">
        <v>458</v>
      </c>
      <c r="P60" s="72" t="s">
        <v>459</v>
      </c>
      <c r="Q60" s="72" t="s">
        <v>460</v>
      </c>
      <c r="R60" s="72" t="s">
        <v>461</v>
      </c>
      <c r="S60" s="72" t="s">
        <v>462</v>
      </c>
      <c r="T60" s="72" t="s">
        <v>463</v>
      </c>
      <c r="U60" s="72" t="s">
        <v>464</v>
      </c>
      <c r="V60" s="72" t="s">
        <v>465</v>
      </c>
      <c r="W60" s="72" t="s">
        <v>466</v>
      </c>
      <c r="X60" s="72" t="s">
        <v>467</v>
      </c>
      <c r="Y60" s="72" t="s">
        <v>468</v>
      </c>
      <c r="Z60" s="72" t="s">
        <v>469</v>
      </c>
      <c r="AA60" s="72" t="s">
        <v>470</v>
      </c>
      <c r="AB60" s="72" t="s">
        <v>471</v>
      </c>
      <c r="AC60" s="72" t="s">
        <v>472</v>
      </c>
      <c r="AD60" s="72" t="s">
        <v>473</v>
      </c>
      <c r="AE60" s="72" t="s">
        <v>474</v>
      </c>
      <c r="AF60" s="72" t="s">
        <v>475</v>
      </c>
      <c r="AG60" s="72" t="s">
        <v>476</v>
      </c>
      <c r="AH60" s="72" t="s">
        <v>477</v>
      </c>
      <c r="AI60" s="72" t="s">
        <v>478</v>
      </c>
      <c r="AJ60" s="72" t="s">
        <v>479</v>
      </c>
      <c r="AK60" s="72" t="s">
        <v>480</v>
      </c>
      <c r="AL60" s="72" t="s">
        <v>481</v>
      </c>
      <c r="AM60" s="72" t="s">
        <v>482</v>
      </c>
      <c r="AN60" s="72" t="s">
        <v>483</v>
      </c>
      <c r="AO60" s="72" t="s">
        <v>484</v>
      </c>
      <c r="AP60" s="72" t="s">
        <v>485</v>
      </c>
      <c r="AQ60" s="72" t="s">
        <v>486</v>
      </c>
      <c r="AR60" s="72" t="s">
        <v>487</v>
      </c>
      <c r="AS60" s="72" t="s">
        <v>488</v>
      </c>
      <c r="AT60" s="72" t="s">
        <v>489</v>
      </c>
      <c r="AU60" s="72" t="s">
        <v>490</v>
      </c>
      <c r="AV60" s="72" t="s">
        <v>491</v>
      </c>
      <c r="AW60" s="72" t="s">
        <v>492</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346</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8" t="s">
        <v>493</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494</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495</v>
      </c>
      <c r="D7" s="84"/>
      <c r="E7" s="141" t="s">
        <v>496</v>
      </c>
      <c r="F7" s="84"/>
      <c r="G7" s="141" t="s">
        <v>497</v>
      </c>
      <c r="H7" s="84"/>
      <c r="I7" s="141" t="s">
        <v>498</v>
      </c>
      <c r="J7" s="84"/>
      <c r="K7" s="141" t="s">
        <v>499</v>
      </c>
      <c r="L7" s="84"/>
      <c r="M7" s="141" t="s">
        <v>499</v>
      </c>
      <c r="N7" s="84"/>
      <c r="O7" s="141" t="s">
        <v>500</v>
      </c>
      <c r="P7" s="84"/>
      <c r="R7" s="84"/>
      <c r="S7" s="141" t="s">
        <v>501</v>
      </c>
      <c r="T7" s="84"/>
      <c r="U7" s="141" t="s">
        <v>183</v>
      </c>
      <c r="V7" s="84"/>
    </row>
    <row r="8" spans="3:22">
      <c r="U8" s="135" t="s">
        <v>502</v>
      </c>
      <c r="V8" s="135"/>
    </row>
    <row r="9" spans="3:22" ht="12.75" customHeight="1">
      <c r="C9" s="3" t="s">
        <v>503</v>
      </c>
      <c r="E9" s="16" t="s">
        <v>42</v>
      </c>
      <c r="G9" t="s">
        <v>504</v>
      </c>
      <c r="I9" t="s">
        <v>505</v>
      </c>
      <c r="K9" t="s">
        <v>61</v>
      </c>
      <c r="M9" t="s">
        <v>506</v>
      </c>
      <c r="O9" t="s">
        <v>90</v>
      </c>
      <c r="S9" t="s">
        <v>507</v>
      </c>
      <c r="U9" s="21" t="s">
        <v>185</v>
      </c>
      <c r="V9" s="21"/>
    </row>
    <row r="10" spans="3:22" ht="12.75" customHeight="1">
      <c r="C10" s="3" t="s">
        <v>37</v>
      </c>
      <c r="E10" s="16" t="s">
        <v>44</v>
      </c>
      <c r="G10" t="s">
        <v>53</v>
      </c>
      <c r="I10" t="s">
        <v>508</v>
      </c>
      <c r="K10" t="s">
        <v>43</v>
      </c>
      <c r="M10" t="s">
        <v>114</v>
      </c>
      <c r="O10" t="s">
        <v>509</v>
      </c>
      <c r="S10" t="s">
        <v>22</v>
      </c>
      <c r="U10" s="21" t="s">
        <v>186</v>
      </c>
      <c r="V10" s="21"/>
    </row>
    <row r="11" spans="3:22" ht="12.75" customHeight="1">
      <c r="C11" s="3" t="s">
        <v>510</v>
      </c>
      <c r="E11" s="16" t="s">
        <v>45</v>
      </c>
      <c r="G11" t="s">
        <v>511</v>
      </c>
      <c r="O11" t="s">
        <v>153</v>
      </c>
      <c r="S11" t="s">
        <v>512</v>
      </c>
      <c r="U11" s="21" t="s">
        <v>184</v>
      </c>
      <c r="V11" s="21"/>
    </row>
    <row r="12" spans="3:22" ht="12.75" customHeight="1">
      <c r="C12" s="3" t="s">
        <v>513</v>
      </c>
      <c r="E12" s="16" t="s">
        <v>46</v>
      </c>
      <c r="O12" t="s">
        <v>140</v>
      </c>
      <c r="U12" s="21" t="s">
        <v>176</v>
      </c>
      <c r="V12" s="21"/>
    </row>
    <row r="13" spans="3:22" ht="12.75" customHeight="1">
      <c r="E13" s="16" t="s">
        <v>47</v>
      </c>
      <c r="O13" t="s">
        <v>514</v>
      </c>
      <c r="U13" s="21" t="s">
        <v>174</v>
      </c>
      <c r="V13" s="21"/>
    </row>
    <row r="14" spans="3:22" ht="12.75" customHeight="1">
      <c r="E14" s="16" t="s">
        <v>48</v>
      </c>
      <c r="O14" t="s">
        <v>149</v>
      </c>
    </row>
    <row r="15" spans="3:22" ht="12.75" customHeight="1">
      <c r="E15" s="16" t="s">
        <v>49</v>
      </c>
      <c r="O15" t="s">
        <v>134</v>
      </c>
    </row>
    <row r="16" spans="3:22" ht="12.75" customHeight="1">
      <c r="E16" s="16" t="s">
        <v>50</v>
      </c>
      <c r="O16" t="s">
        <v>144</v>
      </c>
    </row>
    <row r="17" spans="2:15" ht="12.75" customHeight="1">
      <c r="E17" s="16" t="s">
        <v>51</v>
      </c>
      <c r="O17" t="s">
        <v>158</v>
      </c>
    </row>
    <row r="18" spans="2:15" ht="12.75" customHeight="1">
      <c r="E18" s="16"/>
      <c r="O18" t="s">
        <v>515</v>
      </c>
    </row>
    <row r="19" spans="2:15" ht="12.75" customHeight="1">
      <c r="E19" s="16"/>
      <c r="O19" t="s">
        <v>124</v>
      </c>
    </row>
    <row r="20" spans="2:15" ht="12.75" customHeight="1">
      <c r="E20" s="29"/>
      <c r="O20" t="s">
        <v>516</v>
      </c>
    </row>
    <row r="21" spans="2:15" ht="12.75" customHeight="1">
      <c r="E21" s="17"/>
      <c r="O21" t="s">
        <v>517</v>
      </c>
    </row>
    <row r="22" spans="2:15" ht="12.75" customHeight="1">
      <c r="O22" t="s">
        <v>114</v>
      </c>
    </row>
    <row r="23" spans="2:15" ht="15.6">
      <c r="B23" s="30" t="s">
        <v>518</v>
      </c>
    </row>
    <row r="25" spans="2:15" ht="15.6">
      <c r="B25" s="31" t="s">
        <v>519</v>
      </c>
      <c r="C25" s="32">
        <v>0.1</v>
      </c>
    </row>
    <row r="26" spans="2:15" ht="15.6">
      <c r="B26" s="31" t="s">
        <v>520</v>
      </c>
      <c r="C26" s="32">
        <v>0.5</v>
      </c>
    </row>
    <row r="27" spans="2:15" ht="15.6">
      <c r="B27" s="31" t="s">
        <v>521</v>
      </c>
      <c r="C27" s="32">
        <v>1</v>
      </c>
    </row>
    <row r="28" spans="2:15">
      <c r="C28" s="33"/>
      <c r="D28" s="33"/>
    </row>
    <row r="29" spans="2:15">
      <c r="C29" s="33"/>
      <c r="D29" s="33"/>
    </row>
    <row r="30" spans="2:15" ht="13.8">
      <c r="B30" s="34" t="s">
        <v>522</v>
      </c>
      <c r="C30" s="208"/>
      <c r="D30" s="208"/>
    </row>
    <row r="31" spans="2:15" ht="13.8">
      <c r="B31" s="209"/>
      <c r="C31" s="208"/>
      <c r="D31" s="208"/>
    </row>
    <row r="32" spans="2:15" ht="13.8">
      <c r="B32" s="209" t="s">
        <v>523</v>
      </c>
      <c r="C32" s="209">
        <v>28</v>
      </c>
      <c r="D32" s="209"/>
    </row>
    <row r="33" spans="2:4" ht="13.8">
      <c r="B33" s="209" t="s">
        <v>524</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525</v>
      </c>
      <c r="B1" s="109"/>
      <c r="C1" s="109" t="s">
        <v>526</v>
      </c>
      <c r="D1" s="109"/>
      <c r="E1" s="109" t="s">
        <v>527</v>
      </c>
      <c r="F1" s="109"/>
      <c r="G1" s="109"/>
      <c r="H1" s="109"/>
      <c r="I1" s="109"/>
      <c r="J1" s="109"/>
      <c r="K1" s="109" t="s">
        <v>528</v>
      </c>
      <c r="L1" s="109"/>
      <c r="M1" s="109"/>
      <c r="T1" s="260" t="s">
        <v>344</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529</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c r="A2" t="s">
        <v>530</v>
      </c>
      <c r="B2" s="111" t="str">
        <f>'00.Info'!N2</f>
        <v>Versión: 2.0.1</v>
      </c>
      <c r="C2" s="109" t="s">
        <v>14</v>
      </c>
      <c r="D2" s="112">
        <f>'01.Definición de ámbito'!C7</f>
        <v>0</v>
      </c>
      <c r="E2" s="109" t="s">
        <v>60</v>
      </c>
      <c r="F2" s="112" t="str">
        <f>'02.Tecnologías'!C9</f>
        <v>Sí</v>
      </c>
      <c r="G2" s="161" t="s">
        <v>531</v>
      </c>
      <c r="H2" s="161" t="s">
        <v>532</v>
      </c>
      <c r="I2" s="161"/>
      <c r="J2" s="161"/>
      <c r="K2" s="118" t="s">
        <v>533</v>
      </c>
      <c r="L2" s="163">
        <f>'03.Muestra'!D45</f>
        <v>20</v>
      </c>
      <c r="M2" s="109"/>
      <c r="T2" s="110" t="s">
        <v>534</v>
      </c>
      <c r="U2" s="110" t="s">
        <v>353</v>
      </c>
      <c r="V2" s="110" t="s">
        <v>535</v>
      </c>
      <c r="W2" s="110" t="s">
        <v>536</v>
      </c>
      <c r="X2" s="110" t="s">
        <v>537</v>
      </c>
      <c r="Y2" s="110" t="s">
        <v>538</v>
      </c>
      <c r="Z2" s="110" t="s">
        <v>87</v>
      </c>
      <c r="AA2" s="110" t="s">
        <v>355</v>
      </c>
      <c r="AB2" s="110" t="s">
        <v>356</v>
      </c>
      <c r="AC2" s="110" t="s">
        <v>357</v>
      </c>
      <c r="AD2" s="110" t="s">
        <v>358</v>
      </c>
      <c r="AE2" s="110" t="s">
        <v>359</v>
      </c>
      <c r="AF2" s="110" t="s">
        <v>360</v>
      </c>
      <c r="AG2" s="110" t="s">
        <v>361</v>
      </c>
      <c r="AH2" s="110" t="s">
        <v>362</v>
      </c>
      <c r="AI2" s="110" t="s">
        <v>363</v>
      </c>
      <c r="AJ2" s="110" t="s">
        <v>364</v>
      </c>
      <c r="AK2" s="110" t="s">
        <v>365</v>
      </c>
      <c r="AL2" s="110" t="s">
        <v>366</v>
      </c>
      <c r="AM2" s="110" t="s">
        <v>367</v>
      </c>
      <c r="AN2" s="110" t="s">
        <v>368</v>
      </c>
      <c r="AO2" s="110" t="s">
        <v>369</v>
      </c>
      <c r="AP2" s="110" t="s">
        <v>370</v>
      </c>
      <c r="AQ2" s="110" t="s">
        <v>371</v>
      </c>
      <c r="AR2" s="110" t="s">
        <v>372</v>
      </c>
      <c r="AS2" s="110" t="s">
        <v>373</v>
      </c>
      <c r="AT2" s="110" t="s">
        <v>374</v>
      </c>
      <c r="AU2" s="110" t="s">
        <v>375</v>
      </c>
      <c r="AV2" s="110" t="s">
        <v>376</v>
      </c>
      <c r="AW2" s="110" t="s">
        <v>377</v>
      </c>
      <c r="AX2" s="110" t="s">
        <v>378</v>
      </c>
      <c r="AY2" s="110" t="s">
        <v>379</v>
      </c>
      <c r="AZ2" s="110" t="s">
        <v>380</v>
      </c>
      <c r="BA2" s="110" t="s">
        <v>381</v>
      </c>
      <c r="BB2" s="110" t="s">
        <v>382</v>
      </c>
      <c r="BC2" s="110" t="s">
        <v>383</v>
      </c>
      <c r="BD2" s="110" t="s">
        <v>384</v>
      </c>
      <c r="BE2" s="110" t="s">
        <v>385</v>
      </c>
      <c r="BF2" s="110" t="s">
        <v>386</v>
      </c>
      <c r="BG2" s="110" t="s">
        <v>387</v>
      </c>
      <c r="BH2" s="110" t="s">
        <v>388</v>
      </c>
      <c r="BI2" s="110" t="s">
        <v>389</v>
      </c>
      <c r="BJ2" s="110" t="s">
        <v>390</v>
      </c>
      <c r="BK2" s="110" t="s">
        <v>391</v>
      </c>
      <c r="BL2" s="110" t="s">
        <v>392</v>
      </c>
      <c r="BM2" s="110" t="s">
        <v>393</v>
      </c>
      <c r="BN2" s="110" t="s">
        <v>394</v>
      </c>
      <c r="BO2" s="110" t="s">
        <v>395</v>
      </c>
      <c r="BP2" s="110" t="s">
        <v>396</v>
      </c>
      <c r="BQ2" s="110" t="s">
        <v>397</v>
      </c>
      <c r="BR2" s="110" t="s">
        <v>398</v>
      </c>
      <c r="BS2" s="110" t="s">
        <v>399</v>
      </c>
      <c r="BT2" s="110" t="s">
        <v>400</v>
      </c>
      <c r="BU2" s="110" t="s">
        <v>401</v>
      </c>
      <c r="BV2" s="110" t="s">
        <v>402</v>
      </c>
      <c r="BW2" s="110" t="s">
        <v>403</v>
      </c>
      <c r="BX2" s="110" t="s">
        <v>404</v>
      </c>
      <c r="BY2" s="110" t="s">
        <v>405</v>
      </c>
      <c r="BZ2" s="110" t="s">
        <v>406</v>
      </c>
      <c r="CA2" s="110" t="s">
        <v>407</v>
      </c>
      <c r="CB2" s="110" t="s">
        <v>408</v>
      </c>
      <c r="CC2" s="110" t="s">
        <v>409</v>
      </c>
      <c r="CD2" s="110" t="s">
        <v>410</v>
      </c>
      <c r="CE2" s="110" t="s">
        <v>411</v>
      </c>
      <c r="CF2" s="110" t="s">
        <v>412</v>
      </c>
      <c r="CG2" s="110" t="s">
        <v>413</v>
      </c>
      <c r="CH2" s="110" t="s">
        <v>414</v>
      </c>
      <c r="CI2" s="110" t="s">
        <v>415</v>
      </c>
      <c r="CJ2" s="110" t="s">
        <v>416</v>
      </c>
      <c r="CK2" s="110" t="s">
        <v>417</v>
      </c>
      <c r="CL2" s="110" t="s">
        <v>418</v>
      </c>
      <c r="CM2" s="110" t="s">
        <v>419</v>
      </c>
      <c r="CN2" s="110" t="s">
        <v>420</v>
      </c>
      <c r="CO2" s="110" t="s">
        <v>421</v>
      </c>
      <c r="CP2" s="110" t="s">
        <v>422</v>
      </c>
      <c r="CQ2" s="110" t="s">
        <v>423</v>
      </c>
      <c r="CR2" s="110" t="s">
        <v>424</v>
      </c>
      <c r="CS2" s="110" t="s">
        <v>425</v>
      </c>
      <c r="CT2" s="110" t="s">
        <v>426</v>
      </c>
      <c r="CU2" s="110" t="s">
        <v>427</v>
      </c>
      <c r="CV2" s="110" t="s">
        <v>428</v>
      </c>
      <c r="CW2" s="110" t="s">
        <v>429</v>
      </c>
      <c r="CX2" s="110" t="s">
        <v>430</v>
      </c>
      <c r="CY2" s="110" t="s">
        <v>431</v>
      </c>
      <c r="CZ2" s="110" t="s">
        <v>432</v>
      </c>
      <c r="DA2" s="110" t="s">
        <v>433</v>
      </c>
      <c r="DB2" s="110" t="s">
        <v>434</v>
      </c>
      <c r="DC2" s="110" t="s">
        <v>435</v>
      </c>
      <c r="DD2" s="110" t="s">
        <v>436</v>
      </c>
      <c r="DE2" s="110" t="s">
        <v>437</v>
      </c>
      <c r="DF2" s="110" t="s">
        <v>438</v>
      </c>
      <c r="DG2" s="110" t="s">
        <v>439</v>
      </c>
      <c r="DH2" s="110" t="s">
        <v>440</v>
      </c>
      <c r="DI2" s="110" t="s">
        <v>441</v>
      </c>
      <c r="DJ2" s="110" t="s">
        <v>442</v>
      </c>
      <c r="DK2" s="110" t="s">
        <v>443</v>
      </c>
      <c r="DL2" s="110" t="s">
        <v>444</v>
      </c>
      <c r="DM2" s="110" t="s">
        <v>445</v>
      </c>
      <c r="DN2" s="110" t="s">
        <v>446</v>
      </c>
      <c r="DO2" s="110" t="s">
        <v>534</v>
      </c>
      <c r="DP2" s="110" t="s">
        <v>353</v>
      </c>
      <c r="DQ2" s="110" t="s">
        <v>535</v>
      </c>
      <c r="DR2" s="110" t="s">
        <v>536</v>
      </c>
      <c r="DS2" s="110" t="s">
        <v>537</v>
      </c>
      <c r="DT2" s="110" t="s">
        <v>538</v>
      </c>
      <c r="DU2" s="110" t="s">
        <v>87</v>
      </c>
      <c r="DV2" s="110" t="s">
        <v>448</v>
      </c>
      <c r="DW2" s="109" t="s">
        <v>449</v>
      </c>
      <c r="DX2" s="109" t="s">
        <v>450</v>
      </c>
      <c r="DY2" s="109" t="s">
        <v>451</v>
      </c>
      <c r="DZ2" s="109" t="s">
        <v>452</v>
      </c>
      <c r="EA2" s="109" t="s">
        <v>453</v>
      </c>
      <c r="EB2" s="109" t="s">
        <v>454</v>
      </c>
      <c r="EC2" s="109" t="s">
        <v>455</v>
      </c>
      <c r="ED2" s="109" t="s">
        <v>456</v>
      </c>
      <c r="EE2" s="109" t="s">
        <v>457</v>
      </c>
      <c r="EF2" s="109" t="s">
        <v>458</v>
      </c>
      <c r="EG2" s="109" t="s">
        <v>459</v>
      </c>
      <c r="EH2" s="109" t="s">
        <v>460</v>
      </c>
      <c r="EI2" s="109" t="s">
        <v>461</v>
      </c>
      <c r="EJ2" s="109" t="s">
        <v>462</v>
      </c>
      <c r="EK2" s="109" t="s">
        <v>463</v>
      </c>
      <c r="EL2" s="109" t="s">
        <v>464</v>
      </c>
      <c r="EM2" s="109" t="s">
        <v>465</v>
      </c>
      <c r="EN2" s="109" t="s">
        <v>466</v>
      </c>
      <c r="EO2" s="109" t="s">
        <v>467</v>
      </c>
      <c r="EP2" s="109" t="s">
        <v>468</v>
      </c>
      <c r="EQ2" s="109" t="s">
        <v>469</v>
      </c>
      <c r="ER2" s="109" t="s">
        <v>470</v>
      </c>
      <c r="ES2" s="109" t="s">
        <v>471</v>
      </c>
      <c r="ET2" s="109" t="s">
        <v>472</v>
      </c>
      <c r="EU2" s="109" t="s">
        <v>473</v>
      </c>
      <c r="EV2" s="109" t="s">
        <v>474</v>
      </c>
      <c r="EW2" s="109" t="s">
        <v>475</v>
      </c>
      <c r="EX2" s="109" t="s">
        <v>476</v>
      </c>
      <c r="EY2" s="109" t="s">
        <v>477</v>
      </c>
      <c r="EZ2" s="109" t="s">
        <v>478</v>
      </c>
      <c r="FA2" s="109" t="s">
        <v>479</v>
      </c>
      <c r="FB2" s="109" t="s">
        <v>480</v>
      </c>
      <c r="FC2" s="109" t="s">
        <v>481</v>
      </c>
      <c r="FD2" s="109" t="s">
        <v>482</v>
      </c>
      <c r="FE2" s="109" t="s">
        <v>483</v>
      </c>
      <c r="FF2" s="109" t="s">
        <v>484</v>
      </c>
      <c r="FG2" s="109" t="s">
        <v>485</v>
      </c>
      <c r="FH2" s="109" t="s">
        <v>486</v>
      </c>
      <c r="FI2" s="109" t="s">
        <v>487</v>
      </c>
      <c r="FJ2" s="109" t="s">
        <v>488</v>
      </c>
      <c r="FK2" s="109" t="s">
        <v>489</v>
      </c>
      <c r="FL2" s="109" t="s">
        <v>490</v>
      </c>
      <c r="FM2" s="109" t="s">
        <v>491</v>
      </c>
      <c r="FN2" s="109" t="s">
        <v>492</v>
      </c>
    </row>
    <row r="3" spans="1:170">
      <c r="C3" s="109" t="s">
        <v>15</v>
      </c>
      <c r="D3" s="112">
        <f>'01.Definición de ámbito'!C9</f>
        <v>0</v>
      </c>
      <c r="E3" s="109" t="s">
        <v>64</v>
      </c>
      <c r="F3" s="112" t="str">
        <f>'02.Tecnologías'!C10</f>
        <v>No</v>
      </c>
      <c r="G3" s="112" t="str">
        <f>'02.Tecnologías'!K13</f>
        <v>PHP/Drupal</v>
      </c>
      <c r="H3" s="112" t="str">
        <f>'02.Tecnologías'!L13</f>
        <v xml:space="preserve">https://www.drupal.org/project/drupal/releases/8.0.0 </v>
      </c>
      <c r="I3" s="162"/>
      <c r="J3" s="162"/>
      <c r="K3" s="118" t="s">
        <v>539</v>
      </c>
      <c r="L3" s="163">
        <f>'03.Muestra'!D47</f>
        <v>18</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https://elecciones.comunidad.madrid/es</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Falla</v>
      </c>
      <c r="AX3" s="111" t="str">
        <f ca="1">RESULTADOS!AB20</f>
        <v>N/A</v>
      </c>
      <c r="AY3" s="111" t="str">
        <f ca="1">RESULTADOS!AC20</f>
        <v>N/A</v>
      </c>
      <c r="AZ3" s="111" t="str">
        <f ca="1">RESULTADOS!AD20</f>
        <v>N/A</v>
      </c>
      <c r="BA3" s="111" t="str">
        <f ca="1">RESULTADOS!AE20</f>
        <v>N/A</v>
      </c>
      <c r="BB3" s="111" t="str">
        <f ca="1">RESULTADOS!AF20</f>
        <v>Falla</v>
      </c>
      <c r="BC3" s="111" t="str">
        <f ca="1">RESULTADOS!AG20</f>
        <v>N/A</v>
      </c>
      <c r="BD3" s="111" t="str">
        <f ca="1">RESULTADOS!AH20</f>
        <v>N/A</v>
      </c>
      <c r="BE3" s="111" t="str">
        <f ca="1">RESULTADOS!AI20</f>
        <v>Falla</v>
      </c>
      <c r="BF3" s="111" t="str">
        <f ca="1">RESULTADOS!AJ20</f>
        <v>Pasa</v>
      </c>
      <c r="BG3" s="111" t="str">
        <f ca="1">RESULTADOS!AK20</f>
        <v>N/A</v>
      </c>
      <c r="BH3" s="111" t="str">
        <f ca="1">RESULTADOS!AL20</f>
        <v>Falla</v>
      </c>
      <c r="BI3" s="111" t="str">
        <f ca="1">RESULTADOS!AM20</f>
        <v>Falla</v>
      </c>
      <c r="BJ3" s="111" t="str">
        <f ca="1">RESULTADOS!AN20</f>
        <v>Falla</v>
      </c>
      <c r="BK3" s="111" t="str">
        <f ca="1">RESULTADOS!AO20</f>
        <v>Falla</v>
      </c>
      <c r="BL3" s="111" t="str">
        <f ca="1">RESULTADOS!AP20</f>
        <v>Falla</v>
      </c>
      <c r="BM3" s="111" t="str">
        <f ca="1">RESULTADOS!AQ20</f>
        <v>Falla</v>
      </c>
      <c r="BN3" s="111" t="str">
        <f ca="1">RESULTADOS!AR20</f>
        <v>Falla</v>
      </c>
      <c r="BO3" s="111" t="str">
        <f ca="1">RESULTADOS!AS20</f>
        <v>N/A</v>
      </c>
      <c r="BP3" s="111" t="str">
        <f ca="1">RESULTADOS!AT20</f>
        <v>Pasa</v>
      </c>
      <c r="BQ3" s="111" t="str">
        <f ca="1">RESULTADOS!AU20</f>
        <v>N/A</v>
      </c>
      <c r="BR3" s="111" t="str">
        <f ca="1">RESULTADOS!AV20</f>
        <v>Pasa</v>
      </c>
      <c r="BS3" s="111" t="str">
        <f ca="1">RESULTADOS!AW20</f>
        <v>Falla</v>
      </c>
      <c r="BT3" s="111" t="str">
        <f ca="1">RESULTADOS!AX20</f>
        <v>N/A</v>
      </c>
      <c r="BU3" s="111" t="str">
        <f ca="1">RESULTADOS!AY20</f>
        <v>Falla</v>
      </c>
      <c r="BV3" s="111" t="str">
        <f ca="1">RESULTADOS!AZ20</f>
        <v>Falla</v>
      </c>
      <c r="BW3" s="111" t="str">
        <f ca="1">RESULTADOS!BA20</f>
        <v>Pasa</v>
      </c>
      <c r="BX3" s="111" t="str">
        <f ca="1">RESULTADOS!BB20</f>
        <v>Falla</v>
      </c>
      <c r="BY3" s="111" t="str">
        <f ca="1">RESULTADOS!BC20</f>
        <v>Falla</v>
      </c>
      <c r="BZ3" s="111" t="str">
        <f ca="1">RESULTADOS!BD20</f>
        <v>Pasa</v>
      </c>
      <c r="CA3" s="111" t="str">
        <f ca="1">RESULTADOS!BE20</f>
        <v>N/A</v>
      </c>
      <c r="CB3" s="111" t="str">
        <f ca="1">RESULTADOS!BF20</f>
        <v>Pasa</v>
      </c>
      <c r="CC3" s="111" t="str">
        <f ca="1">RESULTADOS!BG20</f>
        <v>N/A</v>
      </c>
      <c r="CD3" s="111" t="str">
        <f ca="1">RESULTADOS!BH20</f>
        <v>N/A</v>
      </c>
      <c r="CE3" s="111" t="str">
        <f ca="1">RESULTADOS!BI20</f>
        <v>Pasa</v>
      </c>
      <c r="CF3" s="111" t="str">
        <f ca="1">RESULTADOS!BJ20</f>
        <v>Pasa</v>
      </c>
      <c r="CG3" s="111" t="str">
        <f ca="1">RESULTADOS!BK20</f>
        <v>Falla</v>
      </c>
      <c r="CH3" s="111" t="str">
        <f ca="1">RESULTADOS!BL20</f>
        <v>Falla</v>
      </c>
      <c r="CI3" s="111" t="str">
        <f ca="1">RESULTADOS!BM20</f>
        <v>Pasa</v>
      </c>
      <c r="CJ3" s="111" t="str">
        <f ca="1">RESULTADOS!BN20</f>
        <v>Pasa</v>
      </c>
      <c r="CK3" s="111" t="str">
        <f ca="1">RESULTADOS!BO20</f>
        <v>Falla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Falla</v>
      </c>
      <c r="CU3" s="111" t="str">
        <f ca="1">RESULTADOS!BY20</f>
        <v>Pasa</v>
      </c>
      <c r="CV3" s="111" t="str">
        <f ca="1">RESULTADOS!BZ20</f>
        <v>N/A</v>
      </c>
      <c r="CW3" s="111" t="str">
        <f ca="1">RESULTADOS!CA20</f>
        <v>Pasa</v>
      </c>
      <c r="CX3" s="111" t="str">
        <f ca="1">RESULTADOS!CB20</f>
        <v>N/A</v>
      </c>
      <c r="CY3" s="111" t="str">
        <f ca="1">RESULTADOS!CC20</f>
        <v>N/A</v>
      </c>
      <c r="CZ3" s="111" t="str">
        <f ca="1">RESULTADOS!CD20</f>
        <v>N/A</v>
      </c>
      <c r="DA3" s="111" t="str">
        <f ca="1">RESULTADOS!CE20</f>
        <v>Pasa</v>
      </c>
      <c r="DB3" s="111" t="str">
        <f ca="1">RESULTADOS!CF20</f>
        <v>N/A</v>
      </c>
      <c r="DC3" s="111" t="str">
        <f ca="1">RESULTADOS!CG20</f>
        <v>Falla</v>
      </c>
      <c r="DD3" s="111" t="str">
        <f ca="1">RESULTADOS!CH20</f>
        <v>Falla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67</v>
      </c>
      <c r="F4" s="112" t="str">
        <f>'02.Tecnologías'!C11</f>
        <v>No</v>
      </c>
      <c r="G4" s="112">
        <f>'02.Tecnologías'!K14</f>
        <v>0</v>
      </c>
      <c r="H4" s="112">
        <f>'02.Tecnologías'!L14</f>
        <v>0</v>
      </c>
      <c r="I4" s="162"/>
      <c r="J4" s="162"/>
      <c r="K4" s="118" t="s">
        <v>540</v>
      </c>
      <c r="L4" s="163">
        <f>'03.Muestra'!D49</f>
        <v>2</v>
      </c>
      <c r="M4" s="109"/>
      <c r="T4" s="113">
        <f>RESULTADOS!B21</f>
        <v>2</v>
      </c>
      <c r="U4" s="113" t="str">
        <f>RESULTADOS!C21</f>
        <v>Resultado Elecciones 28M 2023</v>
      </c>
      <c r="V4" s="113" t="str">
        <f t="shared" ref="V4:V37" si="0">IF(T4&lt;&gt;"","Página web","")</f>
        <v>Página web</v>
      </c>
      <c r="W4" s="113" t="str">
        <v>Pagina tipo</v>
      </c>
      <c r="X4" s="113" t="str">
        <f>RESULTADOS!D21</f>
        <v>https://elecciones.comunidad.madrid/es/resultados-elecciones-asamblea-madrid-28m-2023</v>
      </c>
      <c r="Y4" s="113" t="str">
        <v>Home &gt; Resultados &gt; Elecciones Asamblea de Madrid 28M 2023</v>
      </c>
      <c r="Z4" s="188" t="str">
        <v>Formulario</v>
      </c>
      <c r="AA4" s="111" t="str">
        <f ca="1">RESULTADOS!E21</f>
        <v>Falla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Falla</v>
      </c>
      <c r="BO4" s="111" t="str">
        <f ca="1">RESULTADOS!AS21</f>
        <v>N/A</v>
      </c>
      <c r="BP4" s="111" t="str">
        <f ca="1">RESULTADOS!AT21</f>
        <v>Pasa</v>
      </c>
      <c r="BQ4" s="111" t="str">
        <f ca="1">RESULTADOS!AU21</f>
        <v>N/A</v>
      </c>
      <c r="BR4" s="111" t="str">
        <f ca="1">RESULTADOS!AV21</f>
        <v>Pasa</v>
      </c>
      <c r="BS4" s="111" t="str">
        <f ca="1">RESULTADOS!AW21</f>
        <v>Falla</v>
      </c>
      <c r="BT4" s="111" t="str">
        <f ca="1">RESULTADOS!AX21</f>
        <v>Pasa</v>
      </c>
      <c r="BU4" s="111" t="str">
        <f ca="1">RESULTADOS!AY21</f>
        <v>Falla</v>
      </c>
      <c r="BV4" s="111" t="str">
        <f ca="1">RESULTADOS!AZ21</f>
        <v>Falla</v>
      </c>
      <c r="BW4" s="111" t="str">
        <f ca="1">RESULTADOS!BA21</f>
        <v>Pasa</v>
      </c>
      <c r="BX4" s="111" t="str">
        <f ca="1">RESULTADOS!BB21</f>
        <v>Falla</v>
      </c>
      <c r="BY4" s="111" t="str">
        <f ca="1">RESULTADOS!BC21</f>
        <v>Falla</v>
      </c>
      <c r="BZ4" s="111" t="str">
        <f ca="1">RESULTADOS!BD21</f>
        <v>Pasa</v>
      </c>
      <c r="CA4" s="111" t="str">
        <f ca="1">RESULTADOS!BE21</f>
        <v>N/A</v>
      </c>
      <c r="CB4" s="111" t="str">
        <f ca="1">RESULTADOS!BF21</f>
        <v>Pasa</v>
      </c>
      <c r="CC4" s="111" t="str">
        <f ca="1">RESULTADOS!BG21</f>
        <v>N/A</v>
      </c>
      <c r="CD4" s="111" t="str">
        <f ca="1">RESULTADOS!BH21</f>
        <v>N/A</v>
      </c>
      <c r="CE4" s="111" t="str">
        <f ca="1">RESULTADOS!BI21</f>
        <v>Pasa</v>
      </c>
      <c r="CF4" s="111" t="str">
        <f ca="1">RESULTADOS!BJ21</f>
        <v>Pasa</v>
      </c>
      <c r="CG4" s="111" t="str">
        <f ca="1">RESULTADOS!BK21</f>
        <v>Falla</v>
      </c>
      <c r="CH4" s="111" t="str">
        <f ca="1">RESULTADOS!BL21</f>
        <v>Falla</v>
      </c>
      <c r="CI4" s="111" t="str">
        <f ca="1">RESULTADOS!BM21</f>
        <v>Pasa</v>
      </c>
      <c r="CJ4" s="111" t="str">
        <f ca="1">RESULTADOS!BN21</f>
        <v>Pasa</v>
      </c>
      <c r="CK4" s="111" t="str">
        <f ca="1">RESULTADOS!BO21</f>
        <v>Falla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N/A</v>
      </c>
      <c r="DA4" s="111" t="str">
        <f ca="1">RESULTADOS!CE21</f>
        <v>Falla</v>
      </c>
      <c r="DB4" s="111" t="str">
        <f ca="1">RESULTADOS!CF21</f>
        <v>N/A</v>
      </c>
      <c r="DC4" s="111" t="str">
        <f ca="1">RESULTADOS!CG21</f>
        <v>Falla</v>
      </c>
      <c r="DD4" s="111" t="str">
        <f ca="1">RESULTADOS!CH21</f>
        <v>Falla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70</v>
      </c>
      <c r="F5" s="112" t="str">
        <f>'02.Tecnologías'!C12</f>
        <v>Sí</v>
      </c>
      <c r="G5" s="112">
        <f>'02.Tecnologías'!K15</f>
        <v>0</v>
      </c>
      <c r="H5" s="112">
        <f>'02.Tecnologías'!L15</f>
        <v>0</v>
      </c>
      <c r="I5" s="162"/>
      <c r="J5" s="162"/>
      <c r="K5" s="118" t="s">
        <v>541</v>
      </c>
      <c r="L5" s="163" t="str">
        <f>'03.Muestra'!D52</f>
        <v>SI</v>
      </c>
      <c r="M5" s="109"/>
      <c r="T5" s="113">
        <f>RESULTADOS!B22</f>
        <v>3</v>
      </c>
      <c r="U5" s="113" t="str">
        <f>RESULTADOS!C22</f>
        <v>Normativa electoral</v>
      </c>
      <c r="V5" s="113" t="str">
        <f t="shared" si="0"/>
        <v>Página web</v>
      </c>
      <c r="W5" s="113" t="str">
        <v>Pagina tipo</v>
      </c>
      <c r="X5" s="113" t="str">
        <f>RESULTADOS!D22</f>
        <v>https://elecciones.comunidad.madrid/es/informacion-electoral/normativa-electoral</v>
      </c>
      <c r="Y5" s="113" t="str">
        <v>Home &gt; Información electoral &gt; Normativa electoral</v>
      </c>
      <c r="Z5" s="188">
        <v>0</v>
      </c>
      <c r="AA5" s="111" t="str">
        <f ca="1">RESULTADOS!E22</f>
        <v>Falla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Falla</v>
      </c>
      <c r="BL5" s="111" t="str">
        <f ca="1">RESULTADOS!AP22</f>
        <v>Falla</v>
      </c>
      <c r="BM5" s="111" t="str">
        <f ca="1">RESULTADOS!AQ22</f>
        <v>Falla</v>
      </c>
      <c r="BN5" s="111" t="str">
        <f ca="1">RESULTADOS!AR22</f>
        <v>Falla</v>
      </c>
      <c r="BO5" s="111" t="str">
        <f ca="1">RESULTADOS!AS22</f>
        <v>N/A</v>
      </c>
      <c r="BP5" s="111" t="str">
        <f ca="1">RESULTADOS!AT22</f>
        <v>Pasa</v>
      </c>
      <c r="BQ5" s="111" t="str">
        <f ca="1">RESULTADOS!AU22</f>
        <v>N/A</v>
      </c>
      <c r="BR5" s="111" t="str">
        <f ca="1">RESULTADOS!AV22</f>
        <v>Pasa</v>
      </c>
      <c r="BS5" s="111" t="str">
        <f ca="1">RESULTADOS!AW22</f>
        <v>Falla</v>
      </c>
      <c r="BT5" s="111" t="str">
        <f ca="1">RESULTADOS!AX22</f>
        <v>N/A</v>
      </c>
      <c r="BU5" s="111" t="str">
        <f ca="1">RESULTADOS!AY22</f>
        <v>Falla</v>
      </c>
      <c r="BV5" s="111" t="str">
        <f ca="1">RESULTADOS!AZ22</f>
        <v>Falla</v>
      </c>
      <c r="BW5" s="111" t="str">
        <f ca="1">RESULTADOS!BA22</f>
        <v>Pasa</v>
      </c>
      <c r="BX5" s="111" t="str">
        <f ca="1">RESULTADOS!BB22</f>
        <v>Falla</v>
      </c>
      <c r="BY5" s="111" t="str">
        <f ca="1">RESULTADOS!BC22</f>
        <v>Falla</v>
      </c>
      <c r="BZ5" s="111" t="str">
        <f ca="1">RESULTADOS!BD22</f>
        <v>Pasa</v>
      </c>
      <c r="CA5" s="111" t="str">
        <f ca="1">RESULTADOS!BE22</f>
        <v>N/A</v>
      </c>
      <c r="CB5" s="111" t="str">
        <f ca="1">RESULTADOS!BF22</f>
        <v>Pasa</v>
      </c>
      <c r="CC5" s="111" t="str">
        <f ca="1">RESULTADOS!BG22</f>
        <v>N/A</v>
      </c>
      <c r="CD5" s="111" t="str">
        <f ca="1">RESULTADOS!BH22</f>
        <v>N/A</v>
      </c>
      <c r="CE5" s="111" t="str">
        <f ca="1">RESULTADOS!BI22</f>
        <v>Pasa</v>
      </c>
      <c r="CF5" s="111" t="str">
        <f ca="1">RESULTADOS!BJ22</f>
        <v>Pasa</v>
      </c>
      <c r="CG5" s="111" t="str">
        <f ca="1">RESULTADOS!BK22</f>
        <v>Falla</v>
      </c>
      <c r="CH5" s="111" t="str">
        <f ca="1">RESULTADOS!BL22</f>
        <v>Falla</v>
      </c>
      <c r="CI5" s="111" t="str">
        <f ca="1">RESULTADOS!BM22</f>
        <v>Pasa</v>
      </c>
      <c r="CJ5" s="111" t="str">
        <f ca="1">RESULTADOS!BN22</f>
        <v>Pasa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N/A</v>
      </c>
      <c r="DA5" s="111" t="str">
        <f ca="1">RESULTADOS!CE22</f>
        <v>Pasa</v>
      </c>
      <c r="DB5" s="111" t="str">
        <f ca="1">RESULTADOS!CF22</f>
        <v>N/A</v>
      </c>
      <c r="DC5" s="111" t="str">
        <f ca="1">RESULTADOS!CG22</f>
        <v>Falla</v>
      </c>
      <c r="DD5" s="111" t="str">
        <f ca="1">RESULTADOS!CH22</f>
        <v>Falla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75</v>
      </c>
      <c r="F6" s="112" t="str">
        <f>'02.Tecnologías'!C13</f>
        <v>Sí</v>
      </c>
      <c r="G6" s="112">
        <f>'02.Tecnologías'!K16</f>
        <v>0</v>
      </c>
      <c r="H6" s="112">
        <f>'02.Tecnologías'!L16</f>
        <v>0</v>
      </c>
      <c r="I6" s="162"/>
      <c r="J6" s="162"/>
      <c r="K6" s="109"/>
      <c r="L6" s="109"/>
      <c r="M6" s="109"/>
      <c r="T6" s="113">
        <f>RESULTADOS!B23</f>
        <v>4</v>
      </c>
      <c r="U6" s="113" t="str">
        <f>RESULTADOS!C23</f>
        <v>Calendario electoral</v>
      </c>
      <c r="V6" s="113" t="str">
        <f t="shared" si="0"/>
        <v>Página web</v>
      </c>
      <c r="W6" s="113" t="str">
        <v>Otras páginas</v>
      </c>
      <c r="X6" s="113" t="str">
        <f>RESULTADOS!D23</f>
        <v>https://elecciones.comunidad.madrid/es/informacion-electoral/calendario-electoral</v>
      </c>
      <c r="Y6" s="113" t="str">
        <v>Home &gt; Información electoral &gt; Calendario electoral</v>
      </c>
      <c r="Z6" s="188" t="str">
        <v xml:space="preserve"> </v>
      </c>
      <c r="AA6" s="111" t="str">
        <f ca="1">RESULTADOS!E23</f>
        <v>Falla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Falla</v>
      </c>
      <c r="BL6" s="111" t="str">
        <f ca="1">RESULTADOS!AP23</f>
        <v>Falla</v>
      </c>
      <c r="BM6" s="111" t="str">
        <f ca="1">RESULTADOS!AQ23</f>
        <v>Falla</v>
      </c>
      <c r="BN6" s="111" t="str">
        <f ca="1">RESULTADOS!AR23</f>
        <v>Falla</v>
      </c>
      <c r="BO6" s="111" t="str">
        <f ca="1">RESULTADOS!AS23</f>
        <v>N/A</v>
      </c>
      <c r="BP6" s="111" t="str">
        <f ca="1">RESULTADOS!AT23</f>
        <v>Pasa</v>
      </c>
      <c r="BQ6" s="111" t="str">
        <f ca="1">RESULTADOS!AU23</f>
        <v>N/A</v>
      </c>
      <c r="BR6" s="111" t="str">
        <f ca="1">RESULTADOS!AV23</f>
        <v>Pasa</v>
      </c>
      <c r="BS6" s="111" t="str">
        <f ca="1">RESULTADOS!AW23</f>
        <v>Falla</v>
      </c>
      <c r="BT6" s="111" t="str">
        <f ca="1">RESULTADOS!AX23</f>
        <v>N/A</v>
      </c>
      <c r="BU6" s="111" t="str">
        <f ca="1">RESULTADOS!AY23</f>
        <v>Falla</v>
      </c>
      <c r="BV6" s="111" t="str">
        <f ca="1">RESULTADOS!AZ23</f>
        <v>Falla</v>
      </c>
      <c r="BW6" s="111" t="str">
        <f ca="1">RESULTADOS!BA23</f>
        <v>Pasa</v>
      </c>
      <c r="BX6" s="111" t="str">
        <f ca="1">RESULTADOS!BB23</f>
        <v>Falla</v>
      </c>
      <c r="BY6" s="111" t="str">
        <f ca="1">RESULTADOS!BC23</f>
        <v>Falla</v>
      </c>
      <c r="BZ6" s="111" t="str">
        <f ca="1">RESULTADOS!BD23</f>
        <v>Pasa</v>
      </c>
      <c r="CA6" s="111" t="str">
        <f ca="1">RESULTADOS!BE23</f>
        <v>N/A</v>
      </c>
      <c r="CB6" s="111" t="str">
        <f ca="1">RESULTADOS!BF23</f>
        <v>Pasa</v>
      </c>
      <c r="CC6" s="111" t="str">
        <f ca="1">RESULTADOS!BG23</f>
        <v>N/A</v>
      </c>
      <c r="CD6" s="111" t="str">
        <f ca="1">RESULTADOS!BH23</f>
        <v>N/A</v>
      </c>
      <c r="CE6" s="111" t="str">
        <f ca="1">RESULTADOS!BI23</f>
        <v>Pasa</v>
      </c>
      <c r="CF6" s="111" t="str">
        <f ca="1">RESULTADOS!BJ23</f>
        <v>Pasa</v>
      </c>
      <c r="CG6" s="111" t="str">
        <f ca="1">RESULTADOS!BK23</f>
        <v>Falla</v>
      </c>
      <c r="CH6" s="111" t="str">
        <f ca="1">RESULTADOS!BL23</f>
        <v>Falla</v>
      </c>
      <c r="CI6" s="111" t="str">
        <f ca="1">RESULTADOS!BM23</f>
        <v>Pasa</v>
      </c>
      <c r="CJ6" s="111" t="str">
        <f ca="1">RESULTADOS!BN23</f>
        <v>Pasa</v>
      </c>
      <c r="CK6" s="111" t="str">
        <f ca="1">RESULTADOS!BO23</f>
        <v>Falla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N/A</v>
      </c>
      <c r="DA6" s="111" t="str">
        <f ca="1">RESULTADOS!CE23</f>
        <v>Pasa</v>
      </c>
      <c r="DB6" s="111" t="str">
        <f ca="1">RESULTADOS!CF23</f>
        <v>N/A</v>
      </c>
      <c r="DC6" s="111" t="str">
        <f ca="1">RESULTADOS!CG23</f>
        <v>Falla</v>
      </c>
      <c r="DD6" s="111" t="str">
        <f ca="1">RESULTADOS!CH23</f>
        <v>Falla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62</v>
      </c>
      <c r="F7" s="112" t="str">
        <f>'02.Tecnologías'!F9</f>
        <v>No</v>
      </c>
      <c r="G7" s="112">
        <f>'02.Tecnologías'!K17</f>
        <v>0</v>
      </c>
      <c r="H7" s="112">
        <f>'02.Tecnologías'!L17</f>
        <v>0</v>
      </c>
      <c r="I7" s="162"/>
      <c r="J7" s="162"/>
      <c r="K7" s="109"/>
      <c r="L7" s="109"/>
      <c r="M7" s="109"/>
      <c r="T7" s="113">
        <f>RESULTADOS!B24</f>
        <v>5</v>
      </c>
      <c r="U7" s="113" t="str">
        <f>RESULTADOS!C24</f>
        <v>Direcciones y teléfonos</v>
      </c>
      <c r="V7" s="113" t="str">
        <f t="shared" si="0"/>
        <v>Página web</v>
      </c>
      <c r="W7" s="113" t="str">
        <v>Aleatoria</v>
      </c>
      <c r="X7" s="113" t="str">
        <f>RESULTADOS!D24</f>
        <v>https://elecciones.comunidad.madrid/es/juntas-electorales/direcciones-telefonos</v>
      </c>
      <c r="Y7" s="113" t="str">
        <v>Home &gt; Información electoral &gt; Juntas electorales &gt; Direcciones y teléfonos</v>
      </c>
      <c r="Z7" s="188">
        <v>0</v>
      </c>
      <c r="AA7" s="111" t="str">
        <f ca="1">RESULTADOS!E24</f>
        <v>Falla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Falla</v>
      </c>
      <c r="BL7" s="111" t="str">
        <f ca="1">RESULTADOS!AP24</f>
        <v>Falla</v>
      </c>
      <c r="BM7" s="111" t="str">
        <f ca="1">RESULTADOS!AQ24</f>
        <v>Falla</v>
      </c>
      <c r="BN7" s="111" t="str">
        <f ca="1">RESULTADOS!AR24</f>
        <v>Falla</v>
      </c>
      <c r="BO7" s="111" t="str">
        <f ca="1">RESULTADOS!AS24</f>
        <v>N/A</v>
      </c>
      <c r="BP7" s="111" t="str">
        <f ca="1">RESULTADOS!AT24</f>
        <v>Pasa</v>
      </c>
      <c r="BQ7" s="111" t="str">
        <f ca="1">RESULTADOS!AU24</f>
        <v>N/A</v>
      </c>
      <c r="BR7" s="111" t="str">
        <f ca="1">RESULTADOS!AV24</f>
        <v>Pasa</v>
      </c>
      <c r="BS7" s="111" t="str">
        <f ca="1">RESULTADOS!AW24</f>
        <v>Falla</v>
      </c>
      <c r="BT7" s="111" t="str">
        <f ca="1">RESULTADOS!AX24</f>
        <v>N/A</v>
      </c>
      <c r="BU7" s="111" t="str">
        <f ca="1">RESULTADOS!AY24</f>
        <v>Falla</v>
      </c>
      <c r="BV7" s="111" t="str">
        <f ca="1">RESULTADOS!AZ24</f>
        <v>Falla</v>
      </c>
      <c r="BW7" s="111" t="str">
        <f ca="1">RESULTADOS!BA24</f>
        <v>Pasa</v>
      </c>
      <c r="BX7" s="111" t="str">
        <f ca="1">RESULTADOS!BB24</f>
        <v>Falla</v>
      </c>
      <c r="BY7" s="111" t="str">
        <f ca="1">RESULTADOS!BC24</f>
        <v>Falla</v>
      </c>
      <c r="BZ7" s="111" t="str">
        <f ca="1">RESULTADOS!BD24</f>
        <v>Pasa</v>
      </c>
      <c r="CA7" s="111" t="str">
        <f ca="1">RESULTADOS!BE24</f>
        <v>N/A</v>
      </c>
      <c r="CB7" s="111" t="str">
        <f ca="1">RESULTADOS!BF24</f>
        <v>Pasa</v>
      </c>
      <c r="CC7" s="111" t="str">
        <f ca="1">RESULTADOS!BG24</f>
        <v>N/A</v>
      </c>
      <c r="CD7" s="111" t="str">
        <f ca="1">RESULTADOS!BH24</f>
        <v>N/A</v>
      </c>
      <c r="CE7" s="111" t="str">
        <f ca="1">RESULTADOS!BI24</f>
        <v>Pasa</v>
      </c>
      <c r="CF7" s="111" t="str">
        <f ca="1">RESULTADOS!BJ24</f>
        <v>Pasa</v>
      </c>
      <c r="CG7" s="111" t="str">
        <f ca="1">RESULTADOS!BK24</f>
        <v>Falla</v>
      </c>
      <c r="CH7" s="111" t="str">
        <f ca="1">RESULTADOS!BL24</f>
        <v>Falla</v>
      </c>
      <c r="CI7" s="111" t="str">
        <f ca="1">RESULTADOS!BM24</f>
        <v>Pasa</v>
      </c>
      <c r="CJ7" s="111" t="str">
        <f ca="1">RESULTADOS!BN24</f>
        <v>Pasa</v>
      </c>
      <c r="CK7" s="111" t="str">
        <f ca="1">RESULTADOS!BO24</f>
        <v>Falla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Falla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65</v>
      </c>
      <c r="F8" s="112" t="str">
        <f>'02.Tecnologías'!F10</f>
        <v>No</v>
      </c>
      <c r="G8" s="112">
        <f>'02.Tecnologías'!K18</f>
        <v>0</v>
      </c>
      <c r="H8" s="112">
        <f>'02.Tecnologías'!L18</f>
        <v>0</v>
      </c>
      <c r="I8" s="162"/>
      <c r="J8" s="162"/>
      <c r="K8" s="109"/>
      <c r="L8" s="109"/>
      <c r="M8" s="109"/>
      <c r="T8" s="113">
        <f>RESULTADOS!B25</f>
        <v>6</v>
      </c>
      <c r="U8" s="113" t="str">
        <f>RESULTADOS!C25</f>
        <v>Impresos electrónicos</v>
      </c>
      <c r="V8" s="113" t="str">
        <f t="shared" si="0"/>
        <v>Página web</v>
      </c>
      <c r="W8" s="113" t="str">
        <v>Pagina tipo</v>
      </c>
      <c r="X8" s="113" t="str">
        <f>RESULTADOS!D25</f>
        <v>https://elecciones.comunidad.madrid/es/formaciones-politicas/impresos-electronicos</v>
      </c>
      <c r="Y8" s="113" t="str">
        <v>Home &gt; Información electoral &gt; Formaciones políticas &gt; Impresos electrónicos</v>
      </c>
      <c r="Z8" s="188">
        <v>0</v>
      </c>
      <c r="AA8" s="111" t="str">
        <f ca="1">RESULTADOS!E25</f>
        <v>Falla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Falla</v>
      </c>
      <c r="BO8" s="111" t="str">
        <f ca="1">RESULTADOS!AS25</f>
        <v>N/A</v>
      </c>
      <c r="BP8" s="111" t="str">
        <f ca="1">RESULTADOS!AT25</f>
        <v>Pasa</v>
      </c>
      <c r="BQ8" s="111" t="str">
        <f ca="1">RESULTADOS!AU25</f>
        <v>N/A</v>
      </c>
      <c r="BR8" s="111" t="str">
        <f ca="1">RESULTADOS!AV25</f>
        <v>Pasa</v>
      </c>
      <c r="BS8" s="111" t="str">
        <f ca="1">RESULTADOS!AW25</f>
        <v>Falla</v>
      </c>
      <c r="BT8" s="111" t="str">
        <f ca="1">RESULTADOS!AX25</f>
        <v>N/A</v>
      </c>
      <c r="BU8" s="111" t="str">
        <f ca="1">RESULTADOS!AY25</f>
        <v>Falla</v>
      </c>
      <c r="BV8" s="111" t="str">
        <f ca="1">RESULTADOS!AZ25</f>
        <v>Falla</v>
      </c>
      <c r="BW8" s="111" t="str">
        <f ca="1">RESULTADOS!BA25</f>
        <v>Pasa</v>
      </c>
      <c r="BX8" s="111" t="str">
        <f ca="1">RESULTADOS!BB25</f>
        <v>Falla</v>
      </c>
      <c r="BY8" s="111" t="str">
        <f ca="1">RESULTADOS!BC25</f>
        <v>Falla</v>
      </c>
      <c r="BZ8" s="111" t="str">
        <f ca="1">RESULTADOS!BD25</f>
        <v>Pasa</v>
      </c>
      <c r="CA8" s="111" t="str">
        <f ca="1">RESULTADOS!BE25</f>
        <v>N/A</v>
      </c>
      <c r="CB8" s="111" t="str">
        <f ca="1">RESULTADOS!BF25</f>
        <v>Pasa</v>
      </c>
      <c r="CC8" s="111" t="str">
        <f ca="1">RESULTADOS!BG25</f>
        <v>N/A</v>
      </c>
      <c r="CD8" s="111" t="str">
        <f ca="1">RESULTADOS!BH25</f>
        <v>N/A</v>
      </c>
      <c r="CE8" s="111" t="str">
        <f ca="1">RESULTADOS!BI25</f>
        <v>Pasa</v>
      </c>
      <c r="CF8" s="111" t="str">
        <f ca="1">RESULTADOS!BJ25</f>
        <v>Pasa</v>
      </c>
      <c r="CG8" s="111" t="str">
        <f ca="1">RESULTADOS!BK25</f>
        <v>Falla</v>
      </c>
      <c r="CH8" s="111" t="str">
        <f ca="1">RESULTADOS!BL25</f>
        <v>Falla</v>
      </c>
      <c r="CI8" s="111" t="str">
        <f ca="1">RESULTADOS!BM25</f>
        <v>Pasa</v>
      </c>
      <c r="CJ8" s="111" t="str">
        <f ca="1">RESULTADOS!BN25</f>
        <v>Pasa</v>
      </c>
      <c r="CK8" s="111" t="str">
        <f ca="1">RESULTADOS!BO25</f>
        <v>Falla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N/A</v>
      </c>
      <c r="DA8" s="111" t="str">
        <f ca="1">RESULTADOS!CE25</f>
        <v>Pasa</v>
      </c>
      <c r="DB8" s="111" t="str">
        <f ca="1">RESULTADOS!CF25</f>
        <v>N/A</v>
      </c>
      <c r="DC8" s="111" t="str">
        <f ca="1">RESULTADOS!CG25</f>
        <v>Falla</v>
      </c>
      <c r="DD8" s="111" t="str">
        <f ca="1">RESULTADOS!CH25</f>
        <v>Falla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68</v>
      </c>
      <c r="F9" s="112" t="str">
        <f>'02.Tecnologías'!F11</f>
        <v>No</v>
      </c>
      <c r="G9" s="112">
        <f>'02.Tecnologías'!K19</f>
        <v>0</v>
      </c>
      <c r="H9" s="112">
        <f>'02.Tecnologías'!L19</f>
        <v>0</v>
      </c>
      <c r="I9" s="162"/>
      <c r="J9" s="162"/>
      <c r="K9" s="109"/>
      <c r="L9" s="109"/>
      <c r="M9" s="109"/>
      <c r="T9" s="113">
        <f>RESULTADOS!B26</f>
        <v>7</v>
      </c>
      <c r="U9" s="113" t="str">
        <f>RESULTADOS!C26</f>
        <v>Listado de candidaturas</v>
      </c>
      <c r="V9" s="113" t="str">
        <f t="shared" si="0"/>
        <v>Página web</v>
      </c>
      <c r="W9" s="113" t="str">
        <v>Pagina tipo</v>
      </c>
      <c r="X9" s="113" t="str">
        <f>RESULTADOS!D26</f>
        <v>https://elecciones.comunidad.madrid/es/formaciones-politicas/listado-candidaturas-proclamadas</v>
      </c>
      <c r="Y9" s="113" t="str">
        <v>Home &gt; Información electoral &gt; Formaciones políticas &gt; Listado de candidaturas</v>
      </c>
      <c r="Z9" s="188">
        <v>0</v>
      </c>
      <c r="AA9" s="111" t="str">
        <f ca="1">RESULTADOS!E26</f>
        <v>Falla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Falla</v>
      </c>
      <c r="BM9" s="111" t="str">
        <f ca="1">RESULTADOS!AQ26</f>
        <v>Falla</v>
      </c>
      <c r="BN9" s="111" t="str">
        <f ca="1">RESULTADOS!AR26</f>
        <v>Falla</v>
      </c>
      <c r="BO9" s="111" t="str">
        <f ca="1">RESULTADOS!AS26</f>
        <v>N/A</v>
      </c>
      <c r="BP9" s="111" t="str">
        <f ca="1">RESULTADOS!AT26</f>
        <v>Falla</v>
      </c>
      <c r="BQ9" s="111" t="str">
        <f ca="1">RESULTADOS!AU26</f>
        <v>N/A</v>
      </c>
      <c r="BR9" s="111" t="str">
        <f ca="1">RESULTADOS!AV26</f>
        <v>Pasa</v>
      </c>
      <c r="BS9" s="111" t="str">
        <f ca="1">RESULTADOS!AW26</f>
        <v>Falla</v>
      </c>
      <c r="BT9" s="111" t="str">
        <f ca="1">RESULTADOS!AX26</f>
        <v>N/A</v>
      </c>
      <c r="BU9" s="111" t="str">
        <f ca="1">RESULTADOS!AY26</f>
        <v>Falla</v>
      </c>
      <c r="BV9" s="111" t="str">
        <f ca="1">RESULTADOS!AZ26</f>
        <v>Falla</v>
      </c>
      <c r="BW9" s="111" t="str">
        <f ca="1">RESULTADOS!BA26</f>
        <v>Pasa</v>
      </c>
      <c r="BX9" s="111" t="str">
        <f ca="1">RESULTADOS!BB26</f>
        <v>Falla</v>
      </c>
      <c r="BY9" s="111" t="str">
        <f ca="1">RESULTADOS!BC26</f>
        <v>Falla</v>
      </c>
      <c r="BZ9" s="111" t="str">
        <f ca="1">RESULTADOS!BD26</f>
        <v>Pasa</v>
      </c>
      <c r="CA9" s="111" t="str">
        <f ca="1">RESULTADOS!BE26</f>
        <v>N/A</v>
      </c>
      <c r="CB9" s="111" t="str">
        <f ca="1">RESULTADOS!BF26</f>
        <v>Pasa</v>
      </c>
      <c r="CC9" s="111" t="str">
        <f ca="1">RESULTADOS!BG26</f>
        <v>N/A</v>
      </c>
      <c r="CD9" s="111" t="str">
        <f ca="1">RESULTADOS!BH26</f>
        <v>N/A</v>
      </c>
      <c r="CE9" s="111" t="str">
        <f ca="1">RESULTADOS!BI26</f>
        <v>Pasa</v>
      </c>
      <c r="CF9" s="111" t="str">
        <f ca="1">RESULTADOS!BJ26</f>
        <v>Pasa</v>
      </c>
      <c r="CG9" s="111" t="str">
        <f ca="1">RESULTADOS!BK26</f>
        <v>Falla</v>
      </c>
      <c r="CH9" s="111" t="str">
        <f ca="1">RESULTADOS!BL26</f>
        <v>Falla</v>
      </c>
      <c r="CI9" s="111" t="str">
        <f ca="1">RESULTADOS!BM26</f>
        <v>Pasa</v>
      </c>
      <c r="CJ9" s="111" t="str">
        <f ca="1">RESULTADOS!BN26</f>
        <v>Pasa</v>
      </c>
      <c r="CK9" s="111" t="str">
        <f ca="1">RESULTADOS!BO26</f>
        <v>Falla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N/A</v>
      </c>
      <c r="DA9" s="111" t="str">
        <f ca="1">RESULTADOS!CE26</f>
        <v>Pasa</v>
      </c>
      <c r="DB9" s="111" t="str">
        <f ca="1">RESULTADOS!CF26</f>
        <v>N/A</v>
      </c>
      <c r="DC9" s="111" t="str">
        <f ca="1">RESULTADOS!CG26</f>
        <v>Falla</v>
      </c>
      <c r="DD9" s="111" t="str">
        <f ca="1">RESULTADOS!CH26</f>
        <v>Falla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23</v>
      </c>
      <c r="D10" s="112" t="str">
        <f>'01.Definición de ámbito'!C27</f>
        <v>28 de Mayo, Elecciones Asamblea Madrid</v>
      </c>
      <c r="E10" s="109" t="s">
        <v>71</v>
      </c>
      <c r="F10" s="112" t="str">
        <f>'02.Tecnologías'!F12</f>
        <v>No</v>
      </c>
      <c r="G10" s="112">
        <f>'02.Tecnologías'!K20</f>
        <v>0</v>
      </c>
      <c r="H10" s="112">
        <f>'02.Tecnologías'!L20</f>
        <v>0</v>
      </c>
      <c r="I10" s="162"/>
      <c r="J10" s="162"/>
      <c r="K10" s="109" t="s">
        <v>542</v>
      </c>
      <c r="L10" s="109"/>
      <c r="M10" s="109"/>
      <c r="T10" s="113">
        <f>RESULTADOS!B27</f>
        <v>8</v>
      </c>
      <c r="U10" s="113" t="str">
        <f>RESULTADOS!C27</f>
        <v>Partido Feminista de España</v>
      </c>
      <c r="V10" s="113" t="str">
        <f t="shared" si="0"/>
        <v>Página web</v>
      </c>
      <c r="W10" s="113" t="str">
        <v>Aleatoria</v>
      </c>
      <c r="X10" s="113" t="str">
        <f>RESULTADOS!D27</f>
        <v>https://elecciones.comunidad.madrid/es/formaciones-politicas/listado-candidaturas/partido-feminista-espana</v>
      </c>
      <c r="Y10" s="113" t="str">
        <v>Home &gt; Información electoral &gt; Formaciones políticas &gt; Listado de candidaturas &gt; Partido Feminista de España</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Falla</v>
      </c>
      <c r="BL10" s="111" t="str">
        <f ca="1">RESULTADOS!AP27</f>
        <v>Falla</v>
      </c>
      <c r="BM10" s="111" t="str">
        <f ca="1">RESULTADOS!AQ27</f>
        <v>Falla</v>
      </c>
      <c r="BN10" s="111" t="str">
        <f ca="1">RESULTADOS!AR27</f>
        <v>Falla</v>
      </c>
      <c r="BO10" s="111" t="str">
        <f ca="1">RESULTADOS!AS27</f>
        <v>N/A</v>
      </c>
      <c r="BP10" s="111" t="str">
        <f ca="1">RESULTADOS!AT27</f>
        <v>Pasa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Falla</v>
      </c>
      <c r="BW10" s="111" t="str">
        <f ca="1">RESULTADOS!BA27</f>
        <v>Pasa</v>
      </c>
      <c r="BX10" s="111" t="str">
        <f ca="1">RESULTADOS!BB27</f>
        <v>Falla</v>
      </c>
      <c r="BY10" s="111" t="str">
        <f ca="1">RESULTADOS!BC27</f>
        <v>Falla</v>
      </c>
      <c r="BZ10" s="111" t="str">
        <f ca="1">RESULTADOS!BD27</f>
        <v>Pasa</v>
      </c>
      <c r="CA10" s="111" t="str">
        <f ca="1">RESULTADOS!BE27</f>
        <v>N/A</v>
      </c>
      <c r="CB10" s="111" t="str">
        <f ca="1">RESULTADOS!BF27</f>
        <v>Pasa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Falla</v>
      </c>
      <c r="CI10" s="111" t="str">
        <f ca="1">RESULTADOS!BM27</f>
        <v>Falla</v>
      </c>
      <c r="CJ10" s="111" t="str">
        <f ca="1">RESULTADOS!BN27</f>
        <v>Pasa</v>
      </c>
      <c r="CK10" s="111" t="str">
        <f ca="1">RESULTADOS!BO27</f>
        <v>Falla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N/A</v>
      </c>
      <c r="DA10" s="111" t="str">
        <f ca="1">RESULTADOS!CE27</f>
        <v>Pasa</v>
      </c>
      <c r="DB10" s="111" t="str">
        <f ca="1">RESULTADOS!CF27</f>
        <v>N/A</v>
      </c>
      <c r="DC10" s="111" t="str">
        <f ca="1">RESULTADOS!CG27</f>
        <v>Falla</v>
      </c>
      <c r="DD10" s="111" t="str">
        <f ca="1">RESULTADOS!CH27</f>
        <v>Falla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25</v>
      </c>
      <c r="D11" s="112" t="str">
        <f>'01.Definición de ámbito'!C29</f>
        <v>https://elecciones.comunidad.madrid/</v>
      </c>
      <c r="E11" s="109" t="s">
        <v>76</v>
      </c>
      <c r="F11" s="112" t="str">
        <f>'02.Tecnologías'!F13</f>
        <v>No</v>
      </c>
      <c r="G11" s="112">
        <f>'02.Tecnologías'!K21</f>
        <v>0</v>
      </c>
      <c r="H11" s="112">
        <f>'02.Tecnologías'!L21</f>
        <v>0</v>
      </c>
      <c r="I11" s="162"/>
      <c r="J11" s="162"/>
      <c r="K11" s="109" t="s">
        <v>334</v>
      </c>
      <c r="L11" s="109"/>
      <c r="M11" s="109"/>
      <c r="N11" s="109"/>
      <c r="O11" s="109"/>
      <c r="P11" s="109"/>
      <c r="T11" s="113">
        <f>RESULTADOS!B28</f>
        <v>9</v>
      </c>
      <c r="U11" s="113" t="str">
        <f>RESULTADOS!C28</f>
        <v>¿Dónde voto?</v>
      </c>
      <c r="V11" s="113" t="str">
        <f t="shared" si="0"/>
        <v>Página web</v>
      </c>
      <c r="W11" s="113" t="str">
        <v>Pagina tipo</v>
      </c>
      <c r="X11" s="113" t="str">
        <f>RESULTADOS!D28</f>
        <v>https://elecciones.comunidad.madrid/es/votar/donde-voto</v>
      </c>
      <c r="Y11" s="113" t="str">
        <v>Home &gt; Votar &gt; ¿Dónde voto?</v>
      </c>
      <c r="Z11" s="188">
        <v>0</v>
      </c>
      <c r="AA11" s="111" t="str">
        <f ca="1">RESULTADOS!E28</f>
        <v>Falla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Falla</v>
      </c>
      <c r="BL11" s="111" t="str">
        <f ca="1">RESULTADOS!AP28</f>
        <v>Falla</v>
      </c>
      <c r="BM11" s="111" t="str">
        <f ca="1">RESULTADOS!AQ28</f>
        <v>Falla</v>
      </c>
      <c r="BN11" s="111" t="str">
        <f ca="1">RESULTADOS!AR28</f>
        <v>Falla</v>
      </c>
      <c r="BO11" s="111" t="str">
        <f ca="1">RESULTADOS!AS28</f>
        <v>N/A</v>
      </c>
      <c r="BP11" s="111" t="str">
        <f ca="1">RESULTADOS!AT28</f>
        <v>Pasa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Falla</v>
      </c>
      <c r="BW11" s="111" t="str">
        <f ca="1">RESULTADOS!BA28</f>
        <v>Pasa</v>
      </c>
      <c r="BX11" s="111" t="str">
        <f ca="1">RESULTADOS!BB28</f>
        <v>Falla</v>
      </c>
      <c r="BY11" s="111" t="str">
        <f ca="1">RESULTADOS!BC28</f>
        <v>Falla</v>
      </c>
      <c r="BZ11" s="111" t="str">
        <f ca="1">RESULTADOS!BD28</f>
        <v>Pasa</v>
      </c>
      <c r="CA11" s="111" t="str">
        <f ca="1">RESULTADOS!BE28</f>
        <v>N/A</v>
      </c>
      <c r="CB11" s="111" t="str">
        <f ca="1">RESULTADOS!BF28</f>
        <v>Pasa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Falla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Falla</v>
      </c>
      <c r="CU11" s="111" t="str">
        <f ca="1">RESULTADOS!BY28</f>
        <v>Pasa</v>
      </c>
      <c r="CV11" s="111" t="str">
        <f ca="1">RESULTADOS!BZ28</f>
        <v>N/A</v>
      </c>
      <c r="CW11" s="111" t="str">
        <f ca="1">RESULTADOS!CA28</f>
        <v>Pasa</v>
      </c>
      <c r="CX11" s="111" t="str">
        <f ca="1">RESULTADOS!CB28</f>
        <v>N/A</v>
      </c>
      <c r="CY11" s="111" t="str">
        <f ca="1">RESULTADOS!CC28</f>
        <v>N/A</v>
      </c>
      <c r="CZ11" s="111" t="str">
        <f ca="1">RESULTADOS!CD28</f>
        <v>N/A</v>
      </c>
      <c r="DA11" s="111" t="str">
        <f ca="1">RESULTADOS!CE28</f>
        <v>Pasa</v>
      </c>
      <c r="DB11" s="111" t="str">
        <f ca="1">RESULTADOS!CF28</f>
        <v>N/A</v>
      </c>
      <c r="DC11" s="111" t="str">
        <f ca="1">RESULTADOS!CG28</f>
        <v>Falla</v>
      </c>
      <c r="DD11" s="111" t="str">
        <f ca="1">RESULTADOS!CH28</f>
        <v>Falla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27</v>
      </c>
      <c r="D12" s="112" t="str">
        <f>'01.Definición de ámbito'!C31</f>
        <v>Revisión del dominio solicitado</v>
      </c>
      <c r="E12" s="109" t="s">
        <v>63</v>
      </c>
      <c r="F12" s="112" t="str">
        <f>'02.Tecnologías'!I9</f>
        <v>No</v>
      </c>
      <c r="G12" s="112">
        <f>'02.Tecnologías'!K22</f>
        <v>0</v>
      </c>
      <c r="H12" s="112">
        <f>'02.Tecnologías'!L22</f>
        <v>0</v>
      </c>
      <c r="I12" s="162"/>
      <c r="J12" s="162"/>
      <c r="K12" s="22" t="s">
        <v>543</v>
      </c>
      <c r="L12" s="22" t="s">
        <v>337</v>
      </c>
      <c r="M12" s="22" t="s">
        <v>338</v>
      </c>
      <c r="N12" s="22" t="s">
        <v>179</v>
      </c>
      <c r="O12" s="22" t="s">
        <v>339</v>
      </c>
      <c r="P12" s="22" t="s">
        <v>544</v>
      </c>
      <c r="T12" s="113">
        <f>RESULTADOS!B29</f>
        <v>10</v>
      </c>
      <c r="U12" s="113" t="str">
        <f>RESULTADOS!C29</f>
        <v>Voto presencial</v>
      </c>
      <c r="V12" s="113" t="str">
        <f t="shared" si="0"/>
        <v>Página web</v>
      </c>
      <c r="W12" s="113" t="str">
        <v>Pagina tipo</v>
      </c>
      <c r="X12" s="113" t="str">
        <f>RESULTADOS!D29</f>
        <v>https://elecciones.comunidad.madrid/es/voto-local-electoral/voto-presencial</v>
      </c>
      <c r="Y12" s="113" t="str">
        <v>Home &gt; Votar &gt; Voto en Local Electoral  &gt; Voto presencial</v>
      </c>
      <c r="Z12" s="188">
        <v>0</v>
      </c>
      <c r="AA12" s="111" t="str">
        <f ca="1">RESULTADOS!E29</f>
        <v>Falla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Pasa</v>
      </c>
      <c r="AX12" s="111" t="str">
        <f ca="1">RESULTADOS!AB29</f>
        <v>Pasa</v>
      </c>
      <c r="AY12" s="111" t="str">
        <f ca="1">RESULTADOS!AC29</f>
        <v>N/A</v>
      </c>
      <c r="AZ12" s="111" t="str">
        <f ca="1">RESULTADOS!AD29</f>
        <v>N/A</v>
      </c>
      <c r="BA12" s="111" t="str">
        <f ca="1">RESULTADOS!AE29</f>
        <v>N/A</v>
      </c>
      <c r="BB12" s="111" t="str">
        <f ca="1">RESULTADOS!AF29</f>
        <v>Falla</v>
      </c>
      <c r="BC12" s="111" t="str">
        <f ca="1">RESULTADOS!AG29</f>
        <v>N/A</v>
      </c>
      <c r="BD12" s="111" t="str">
        <f ca="1">RESULTADOS!AH29</f>
        <v>N/A</v>
      </c>
      <c r="BE12" s="111" t="str">
        <f ca="1">RESULTADOS!AI29</f>
        <v>Falla</v>
      </c>
      <c r="BF12" s="111" t="str">
        <f ca="1">RESULTADOS!AJ29</f>
        <v>Pasa</v>
      </c>
      <c r="BG12" s="111" t="str">
        <f ca="1">RESULTADOS!AK29</f>
        <v>N/A</v>
      </c>
      <c r="BH12" s="111" t="str">
        <f ca="1">RESULTADOS!AL29</f>
        <v>Pasa</v>
      </c>
      <c r="BI12" s="111" t="str">
        <f ca="1">RESULTADOS!AM29</f>
        <v>Falla</v>
      </c>
      <c r="BJ12" s="111" t="str">
        <f ca="1">RESULTADOS!AN29</f>
        <v>Falla</v>
      </c>
      <c r="BK12" s="111" t="str">
        <f ca="1">RESULTADOS!AO29</f>
        <v>Falla</v>
      </c>
      <c r="BL12" s="111" t="str">
        <f ca="1">RESULTADOS!AP29</f>
        <v>Falla</v>
      </c>
      <c r="BM12" s="111" t="str">
        <f ca="1">RESULTADOS!AQ29</f>
        <v>Falla</v>
      </c>
      <c r="BN12" s="111" t="str">
        <f ca="1">RESULTADOS!AR29</f>
        <v>Falla</v>
      </c>
      <c r="BO12" s="111" t="str">
        <f ca="1">RESULTADOS!AS29</f>
        <v>N/A</v>
      </c>
      <c r="BP12" s="111" t="str">
        <f ca="1">RESULTADOS!AT29</f>
        <v>Pasa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Falla</v>
      </c>
      <c r="BW12" s="111" t="str">
        <f ca="1">RESULTADOS!BA29</f>
        <v>Pasa</v>
      </c>
      <c r="BX12" s="111" t="str">
        <f ca="1">RESULTADOS!BB29</f>
        <v>Falla</v>
      </c>
      <c r="BY12" s="111" t="str">
        <f ca="1">RESULTADOS!BC29</f>
        <v>Falla</v>
      </c>
      <c r="BZ12" s="111" t="str">
        <f ca="1">RESULTADOS!BD29</f>
        <v>Pasa</v>
      </c>
      <c r="CA12" s="111" t="str">
        <f ca="1">RESULTADOS!BE29</f>
        <v>N/A</v>
      </c>
      <c r="CB12" s="111" t="str">
        <f ca="1">RESULTADOS!BF29</f>
        <v>Pasa</v>
      </c>
      <c r="CC12" s="111" t="str">
        <f ca="1">RESULTADOS!BG29</f>
        <v>N/A</v>
      </c>
      <c r="CD12" s="111" t="str">
        <f ca="1">RESULTADOS!BH29</f>
        <v>N/A</v>
      </c>
      <c r="CE12" s="111" t="str">
        <f ca="1">RESULTADOS!BI29</f>
        <v>Pasa</v>
      </c>
      <c r="CF12" s="111" t="str">
        <f ca="1">RESULTADOS!BJ29</f>
        <v>Pasa</v>
      </c>
      <c r="CG12" s="111" t="str">
        <f ca="1">RESULTADOS!BK29</f>
        <v>Falla</v>
      </c>
      <c r="CH12" s="111" t="str">
        <f ca="1">RESULTADOS!BL29</f>
        <v>Falla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N/A</v>
      </c>
      <c r="DA12" s="111" t="str">
        <f ca="1">RESULTADOS!CE29</f>
        <v>Pasa</v>
      </c>
      <c r="DB12" s="111" t="str">
        <f ca="1">RESULTADOS!CF29</f>
        <v>N/A</v>
      </c>
      <c r="DC12" s="111" t="str">
        <f ca="1">RESULTADOS!CG29</f>
        <v>Falla</v>
      </c>
      <c r="DD12" s="111" t="str">
        <f ca="1">RESULTADOS!CH29</f>
        <v>Falla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29</v>
      </c>
      <c r="D13" s="112" t="str">
        <f>'01.Definición de ámbito'!C33</f>
        <v>Inofrmación sobre las elecciones del 28 de mayo</v>
      </c>
      <c r="E13" s="109" t="s">
        <v>66</v>
      </c>
      <c r="F13" s="112" t="str">
        <f>'02.Tecnologías'!I10</f>
        <v>No</v>
      </c>
      <c r="G13" s="112">
        <f>'02.Tecnologías'!K23</f>
        <v>0</v>
      </c>
      <c r="H13" s="112">
        <f>'02.Tecnologías'!L23</f>
        <v>0</v>
      </c>
      <c r="I13" s="162"/>
      <c r="J13" s="162"/>
      <c r="K13" t="s">
        <v>545</v>
      </c>
      <c r="L13" s="164" t="str">
        <f ca="1">RESULTADOS!E8</f>
        <v>22 (23,91 %)</v>
      </c>
      <c r="M13" s="164" t="str">
        <f ca="1">RESULTADOS!F8</f>
        <v>28 (30,43 %)</v>
      </c>
      <c r="N13" s="164" t="str">
        <f ca="1">RESULTADOS!G8</f>
        <v>42 (45,65 %)</v>
      </c>
      <c r="O13" s="113">
        <f ca="1">RESULTADOS!H8</f>
        <v>0</v>
      </c>
      <c r="P13" s="113">
        <f ca="1">RESULTADOS!I8</f>
        <v>0</v>
      </c>
      <c r="T13" s="113">
        <f>RESULTADOS!B30</f>
        <v>11</v>
      </c>
      <c r="U13" s="113" t="str">
        <f>RESULTADOS!C30</f>
        <v>Ciudadanos temporalmente en el extranjero</v>
      </c>
      <c r="V13" s="113" t="str">
        <f t="shared" si="0"/>
        <v>Página web</v>
      </c>
      <c r="W13" s="113" t="str">
        <v>Pagina tipo</v>
      </c>
      <c r="X13" s="113" t="str">
        <f>RESULTADOS!D30</f>
        <v>https://elecciones.comunidad.madrid/es/voto-correo/solicitud-voto-temporalmente-ausentes</v>
      </c>
      <c r="Y13" s="113" t="str">
        <v>Home &gt; Votar &gt; Voto por correo &gt; Ciudadanos temporalmente en el extranjero</v>
      </c>
      <c r="Z13" s="188">
        <v>0</v>
      </c>
      <c r="AA13" s="111" t="str">
        <f ca="1">RESULTADOS!E30</f>
        <v>Falla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Pasa</v>
      </c>
      <c r="AX13" s="111" t="str">
        <f ca="1">RESULTADOS!AB30</f>
        <v>Pasa</v>
      </c>
      <c r="AY13" s="111" t="str">
        <f ca="1">RESULTADOS!AC30</f>
        <v>N/A</v>
      </c>
      <c r="AZ13" s="111" t="str">
        <f ca="1">RESULTADOS!AD30</f>
        <v>N/A</v>
      </c>
      <c r="BA13" s="111" t="str">
        <f ca="1">RESULTADOS!AE30</f>
        <v>N/A</v>
      </c>
      <c r="BB13" s="111" t="str">
        <f ca="1">RESULTADOS!AF30</f>
        <v>Falla</v>
      </c>
      <c r="BC13" s="111" t="str">
        <f ca="1">RESULTADOS!AG30</f>
        <v>N/A</v>
      </c>
      <c r="BD13" s="111" t="str">
        <f ca="1">RESULTADOS!AH30</f>
        <v>N/A</v>
      </c>
      <c r="BE13" s="111" t="str">
        <f ca="1">RESULTADOS!AI30</f>
        <v>Falla</v>
      </c>
      <c r="BF13" s="111" t="str">
        <f ca="1">RESULTADOS!AJ30</f>
        <v>Pasa</v>
      </c>
      <c r="BG13" s="111" t="str">
        <f ca="1">RESULTADOS!AK30</f>
        <v>N/A</v>
      </c>
      <c r="BH13" s="111" t="str">
        <f ca="1">RESULTADOS!AL30</f>
        <v>Pasa</v>
      </c>
      <c r="BI13" s="111" t="str">
        <f ca="1">RESULTADOS!AM30</f>
        <v>Falla</v>
      </c>
      <c r="BJ13" s="111" t="str">
        <f ca="1">RESULTADOS!AN30</f>
        <v>Falla</v>
      </c>
      <c r="BK13" s="111" t="str">
        <f ca="1">RESULTADOS!AO30</f>
        <v>Falla</v>
      </c>
      <c r="BL13" s="111" t="str">
        <f ca="1">RESULTADOS!AP30</f>
        <v>Falla</v>
      </c>
      <c r="BM13" s="111" t="str">
        <f ca="1">RESULTADOS!AQ30</f>
        <v>Falla</v>
      </c>
      <c r="BN13" s="111" t="str">
        <f ca="1">RESULTADOS!AR30</f>
        <v>Falla</v>
      </c>
      <c r="BO13" s="111" t="str">
        <f ca="1">RESULTADOS!AS30</f>
        <v>N/A</v>
      </c>
      <c r="BP13" s="111" t="str">
        <f ca="1">RESULTADOS!AT30</f>
        <v>Pasa</v>
      </c>
      <c r="BQ13" s="111" t="str">
        <f ca="1">RESULTADOS!AU30</f>
        <v>N/A</v>
      </c>
      <c r="BR13" s="111" t="str">
        <f ca="1">RESULTADOS!AV30</f>
        <v>Pasa</v>
      </c>
      <c r="BS13" s="111" t="str">
        <f ca="1">RESULTADOS!AW30</f>
        <v>Falla</v>
      </c>
      <c r="BT13" s="111" t="str">
        <f ca="1">RESULTADOS!AX30</f>
        <v>N/A</v>
      </c>
      <c r="BU13" s="111" t="str">
        <f ca="1">RESULTADOS!AY30</f>
        <v>Falla</v>
      </c>
      <c r="BV13" s="111" t="str">
        <f ca="1">RESULTADOS!AZ30</f>
        <v>Falla</v>
      </c>
      <c r="BW13" s="111" t="str">
        <f ca="1">RESULTADOS!BA30</f>
        <v>Pasa</v>
      </c>
      <c r="BX13" s="111" t="str">
        <f ca="1">RESULTADOS!BB30</f>
        <v>Falla</v>
      </c>
      <c r="BY13" s="111" t="str">
        <f ca="1">RESULTADOS!BC30</f>
        <v>Falla</v>
      </c>
      <c r="BZ13" s="111" t="str">
        <f ca="1">RESULTADOS!BD30</f>
        <v>Pasa</v>
      </c>
      <c r="CA13" s="111" t="str">
        <f ca="1">RESULTADOS!BE30</f>
        <v>N/A</v>
      </c>
      <c r="CB13" s="111" t="str">
        <f ca="1">RESULTADOS!BF30</f>
        <v>Pasa</v>
      </c>
      <c r="CC13" s="111" t="str">
        <f ca="1">RESULTADOS!BG30</f>
        <v>N/A</v>
      </c>
      <c r="CD13" s="111" t="str">
        <f ca="1">RESULTADOS!BH30</f>
        <v>N/A</v>
      </c>
      <c r="CE13" s="111" t="str">
        <f ca="1">RESULTADOS!BI30</f>
        <v>Pasa</v>
      </c>
      <c r="CF13" s="111" t="str">
        <f ca="1">RESULTADOS!BJ30</f>
        <v>Pasa</v>
      </c>
      <c r="CG13" s="111" t="str">
        <f ca="1">RESULTADOS!BK30</f>
        <v>Falla</v>
      </c>
      <c r="CH13" s="111" t="str">
        <f ca="1">RESULTADOS!BL30</f>
        <v>Falla</v>
      </c>
      <c r="CI13" s="111" t="str">
        <f ca="1">RESULTADOS!BM30</f>
        <v>Pasa</v>
      </c>
      <c r="CJ13" s="111" t="str">
        <f ca="1">RESULTADOS!BN30</f>
        <v>Pasa</v>
      </c>
      <c r="CK13" s="111" t="str">
        <f ca="1">RESULTADOS!BO30</f>
        <v>Falla</v>
      </c>
      <c r="CL13" s="111" t="str">
        <f ca="1">RESULTADOS!BP30</f>
        <v>N/A</v>
      </c>
      <c r="CM13" s="111" t="str">
        <f ca="1">RESULTADOS!BQ30</f>
        <v>Pasa</v>
      </c>
      <c r="CN13" s="111" t="str">
        <f ca="1">RESULTADOS!BR30</f>
        <v>Falla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Falla</v>
      </c>
      <c r="CU13" s="111" t="str">
        <f ca="1">RESULTADOS!BY30</f>
        <v>Pasa</v>
      </c>
      <c r="CV13" s="111" t="str">
        <f ca="1">RESULTADOS!BZ30</f>
        <v>N/A</v>
      </c>
      <c r="CW13" s="111" t="str">
        <f ca="1">RESULTADOS!CA30</f>
        <v>Pasa</v>
      </c>
      <c r="CX13" s="111" t="str">
        <f ca="1">RESULTADOS!CB30</f>
        <v>N/A</v>
      </c>
      <c r="CY13" s="111" t="str">
        <f ca="1">RESULTADOS!CC30</f>
        <v>N/A</v>
      </c>
      <c r="CZ13" s="111" t="str">
        <f ca="1">RESULTADOS!CD30</f>
        <v>N/A</v>
      </c>
      <c r="DA13" s="111" t="str">
        <f ca="1">RESULTADOS!CE30</f>
        <v>Pasa</v>
      </c>
      <c r="DB13" s="111" t="str">
        <f ca="1">RESULTADOS!CF30</f>
        <v>N/A</v>
      </c>
      <c r="DC13" s="111" t="str">
        <f ca="1">RESULTADOS!CG30</f>
        <v>Falla</v>
      </c>
      <c r="DD13" s="111" t="str">
        <f ca="1">RESULTADOS!CH30</f>
        <v>Falla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31</v>
      </c>
      <c r="D14" s="112">
        <f>'01.Definición de ámbito'!C35</f>
        <v>45901</v>
      </c>
      <c r="E14" s="109" t="s">
        <v>69</v>
      </c>
      <c r="F14" s="112" t="str">
        <f>'02.Tecnologías'!I11</f>
        <v>No</v>
      </c>
      <c r="G14" s="161"/>
      <c r="H14" s="161"/>
      <c r="I14" s="161"/>
      <c r="J14" s="161"/>
      <c r="K14" t="s">
        <v>546</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Nuevo votante</v>
      </c>
      <c r="V14" s="113" t="str">
        <f t="shared" si="0"/>
        <v>Página web</v>
      </c>
      <c r="W14" s="113" t="str">
        <v>Pagina tipo</v>
      </c>
      <c r="X14" s="113" t="str">
        <f>RESULTADOS!D31</f>
        <v>https://elecciones.comunidad.madrid/es/votar/nuevo-votante</v>
      </c>
      <c r="Y14" s="113" t="str">
        <v>Home &gt; Votar  Nuevo votante</v>
      </c>
      <c r="Z14" s="188">
        <v>0</v>
      </c>
      <c r="AA14" s="111" t="str">
        <f ca="1">RESULTADOS!E31</f>
        <v>Falla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Pasa</v>
      </c>
      <c r="AX14" s="111" t="str">
        <f ca="1">RESULTADOS!AB31</f>
        <v>Pasa</v>
      </c>
      <c r="AY14" s="111" t="str">
        <f ca="1">RESULTADOS!AC31</f>
        <v>N/A</v>
      </c>
      <c r="AZ14" s="111" t="str">
        <f ca="1">RESULTADOS!AD31</f>
        <v>N/A</v>
      </c>
      <c r="BA14" s="111" t="str">
        <f ca="1">RESULTADOS!AE31</f>
        <v>N/A</v>
      </c>
      <c r="BB14" s="111" t="str">
        <f ca="1">RESULTADOS!AF31</f>
        <v>Falla</v>
      </c>
      <c r="BC14" s="111" t="str">
        <f ca="1">RESULTADOS!AG31</f>
        <v>N/A</v>
      </c>
      <c r="BD14" s="111" t="str">
        <f ca="1">RESULTADOS!AH31</f>
        <v>N/A</v>
      </c>
      <c r="BE14" s="111" t="str">
        <f ca="1">RESULTADOS!AI31</f>
        <v>Falla</v>
      </c>
      <c r="BF14" s="111" t="str">
        <f ca="1">RESULTADOS!AJ31</f>
        <v>Pasa</v>
      </c>
      <c r="BG14" s="111" t="str">
        <f ca="1">RESULTADOS!AK31</f>
        <v>N/A</v>
      </c>
      <c r="BH14" s="111" t="str">
        <f ca="1">RESULTADOS!AL31</f>
        <v>Pasa</v>
      </c>
      <c r="BI14" s="111" t="str">
        <f ca="1">RESULTADOS!AM31</f>
        <v>Falla</v>
      </c>
      <c r="BJ14" s="111" t="str">
        <f ca="1">RESULTADOS!AN31</f>
        <v>Falla</v>
      </c>
      <c r="BK14" s="111" t="str">
        <f ca="1">RESULTADOS!AO31</f>
        <v>Falla</v>
      </c>
      <c r="BL14" s="111" t="str">
        <f ca="1">RESULTADOS!AP31</f>
        <v>Falla</v>
      </c>
      <c r="BM14" s="111" t="str">
        <f ca="1">RESULTADOS!AQ31</f>
        <v>Falla</v>
      </c>
      <c r="BN14" s="111" t="str">
        <f ca="1">RESULTADOS!AR31</f>
        <v>Falla</v>
      </c>
      <c r="BO14" s="111" t="str">
        <f ca="1">RESULTADOS!AS31</f>
        <v>N/A</v>
      </c>
      <c r="BP14" s="111" t="str">
        <f ca="1">RESULTADOS!AT31</f>
        <v>Pasa</v>
      </c>
      <c r="BQ14" s="111" t="str">
        <f ca="1">RESULTADOS!AU31</f>
        <v>N/A</v>
      </c>
      <c r="BR14" s="111" t="str">
        <f ca="1">RESULTADOS!AV31</f>
        <v>Pasa</v>
      </c>
      <c r="BS14" s="111" t="str">
        <f ca="1">RESULTADOS!AW31</f>
        <v>Falla</v>
      </c>
      <c r="BT14" s="111" t="str">
        <f ca="1">RESULTADOS!AX31</f>
        <v>N/A</v>
      </c>
      <c r="BU14" s="111" t="str">
        <f ca="1">RESULTADOS!AY31</f>
        <v>Falla</v>
      </c>
      <c r="BV14" s="111" t="str">
        <f ca="1">RESULTADOS!AZ31</f>
        <v>Falla</v>
      </c>
      <c r="BW14" s="111" t="str">
        <f ca="1">RESULTADOS!BA31</f>
        <v>Pasa</v>
      </c>
      <c r="BX14" s="111" t="str">
        <f ca="1">RESULTADOS!BB31</f>
        <v>Falla</v>
      </c>
      <c r="BY14" s="111" t="str">
        <f ca="1">RESULTADOS!BC31</f>
        <v>Falla</v>
      </c>
      <c r="BZ14" s="111" t="str">
        <f ca="1">RESULTADOS!BD31</f>
        <v>Pasa</v>
      </c>
      <c r="CA14" s="111" t="str">
        <f ca="1">RESULTADOS!BE31</f>
        <v>N/A</v>
      </c>
      <c r="CB14" s="111" t="str">
        <f ca="1">RESULTADOS!BF31</f>
        <v>Pasa</v>
      </c>
      <c r="CC14" s="111" t="str">
        <f ca="1">RESULTADOS!BG31</f>
        <v>N/A</v>
      </c>
      <c r="CD14" s="111" t="str">
        <f ca="1">RESULTADOS!BH31</f>
        <v>N/A</v>
      </c>
      <c r="CE14" s="111" t="str">
        <f ca="1">RESULTADOS!BI31</f>
        <v>Pasa</v>
      </c>
      <c r="CF14" s="111" t="str">
        <f ca="1">RESULTADOS!BJ31</f>
        <v>Pasa</v>
      </c>
      <c r="CG14" s="111" t="str">
        <f ca="1">RESULTADOS!BK31</f>
        <v>Falla</v>
      </c>
      <c r="CH14" s="111" t="str">
        <f ca="1">RESULTADOS!BL31</f>
        <v>Falla</v>
      </c>
      <c r="CI14" s="111" t="str">
        <f ca="1">RESULTADOS!BM31</f>
        <v>Pasa</v>
      </c>
      <c r="CJ14" s="111" t="str">
        <f ca="1">RESULTADOS!BN31</f>
        <v>Pasa</v>
      </c>
      <c r="CK14" s="111" t="str">
        <f ca="1">RESULTADOS!BO31</f>
        <v>Falla</v>
      </c>
      <c r="CL14" s="111" t="str">
        <f ca="1">RESULTADOS!BP31</f>
        <v>N/A</v>
      </c>
      <c r="CM14" s="111" t="str">
        <f ca="1">RESULTADOS!BQ31</f>
        <v>Pasa</v>
      </c>
      <c r="CN14" s="111" t="str">
        <f ca="1">RESULTADOS!BR31</f>
        <v>Falla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Pasa</v>
      </c>
      <c r="CX14" s="111" t="str">
        <f ca="1">RESULTADOS!CB31</f>
        <v>N/A</v>
      </c>
      <c r="CY14" s="111" t="str">
        <f ca="1">RESULTADOS!CC31</f>
        <v>N/A</v>
      </c>
      <c r="CZ14" s="111" t="str">
        <f ca="1">RESULTADOS!CD31</f>
        <v>N/A</v>
      </c>
      <c r="DA14" s="111" t="str">
        <f ca="1">RESULTADOS!CE31</f>
        <v>Pasa</v>
      </c>
      <c r="DB14" s="111" t="str">
        <f ca="1">RESULTADOS!CF31</f>
        <v>N/A</v>
      </c>
      <c r="DC14" s="111" t="str">
        <f ca="1">RESULTADOS!CG31</f>
        <v>Falla</v>
      </c>
      <c r="DD14" s="111" t="str">
        <f ca="1">RESULTADOS!CH31</f>
        <v>Falla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32</v>
      </c>
      <c r="D15" s="112" t="str">
        <f>'01.Definición de ámbito'!C39</f>
        <v>UNE-EN 301 549:2022 - excluyendo el contenido excluido por el RD 1112/2018</v>
      </c>
      <c r="E15" s="109" t="s">
        <v>72</v>
      </c>
      <c r="F15" s="112" t="str">
        <f>'02.Tecnologías'!I12</f>
        <v>Sí</v>
      </c>
      <c r="G15" s="161"/>
      <c r="H15" s="161"/>
      <c r="I15" s="161"/>
      <c r="J15" s="161"/>
      <c r="T15" s="113">
        <f>RESULTADOS!B32</f>
        <v>13</v>
      </c>
      <c r="U15" s="113" t="str">
        <f>RESULTADOS!C32</f>
        <v>Simulación método D'Hondt</v>
      </c>
      <c r="V15" s="113" t="str">
        <f t="shared" si="0"/>
        <v>Página web</v>
      </c>
      <c r="W15" s="113" t="str">
        <v>Pagina tipo</v>
      </c>
      <c r="X15" s="113" t="str">
        <f>RESULTADOS!D32</f>
        <v>https://elecciones.comunidad.madrid/es/informacion-util/simulacion-metodo-dhondt</v>
      </c>
      <c r="Y15" s="113" t="str">
        <v>Home &gt; Información útil  &gt; Simulación método D'Hondt</v>
      </c>
      <c r="Z15" s="188">
        <v>0</v>
      </c>
      <c r="AA15" s="111" t="str">
        <f ca="1">RESULTADOS!E32</f>
        <v>Falla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Falla</v>
      </c>
      <c r="BL15" s="111" t="str">
        <f ca="1">RESULTADOS!AP32</f>
        <v>Falla</v>
      </c>
      <c r="BM15" s="111" t="str">
        <f ca="1">RESULTADOS!AQ32</f>
        <v>Falla</v>
      </c>
      <c r="BN15" s="111" t="str">
        <f ca="1">RESULTADOS!AR32</f>
        <v>Falla</v>
      </c>
      <c r="BO15" s="111" t="str">
        <f ca="1">RESULTADOS!AS32</f>
        <v>N/A</v>
      </c>
      <c r="BP15" s="111" t="str">
        <f ca="1">RESULTADOS!AT32</f>
        <v>Pasa</v>
      </c>
      <c r="BQ15" s="111" t="str">
        <f ca="1">RESULTADOS!AU32</f>
        <v>N/A</v>
      </c>
      <c r="BR15" s="111" t="str">
        <f ca="1">RESULTADOS!AV32</f>
        <v>Pasa</v>
      </c>
      <c r="BS15" s="111" t="str">
        <f ca="1">RESULTADOS!AW32</f>
        <v>Falla</v>
      </c>
      <c r="BT15" s="111" t="str">
        <f ca="1">RESULTADOS!AX32</f>
        <v>N/A</v>
      </c>
      <c r="BU15" s="111" t="str">
        <f ca="1">RESULTADOS!AY32</f>
        <v>Falla</v>
      </c>
      <c r="BV15" s="111" t="str">
        <f ca="1">RESULTADOS!AZ32</f>
        <v>Falla</v>
      </c>
      <c r="BW15" s="111" t="str">
        <f ca="1">RESULTADOS!BA32</f>
        <v>Pasa</v>
      </c>
      <c r="BX15" s="111" t="str">
        <f ca="1">RESULTADOS!BB32</f>
        <v>Falla</v>
      </c>
      <c r="BY15" s="111" t="str">
        <f ca="1">RESULTADOS!BC32</f>
        <v>Falla</v>
      </c>
      <c r="BZ15" s="111" t="str">
        <f ca="1">RESULTADOS!BD32</f>
        <v>Pasa</v>
      </c>
      <c r="CA15" s="111" t="str">
        <f ca="1">RESULTADOS!BE32</f>
        <v>N/A</v>
      </c>
      <c r="CB15" s="111" t="str">
        <f ca="1">RESULTADOS!BF32</f>
        <v>Pasa</v>
      </c>
      <c r="CC15" s="111" t="str">
        <f ca="1">RESULTADOS!BG32</f>
        <v>N/A</v>
      </c>
      <c r="CD15" s="111" t="str">
        <f ca="1">RESULTADOS!BH32</f>
        <v>N/A</v>
      </c>
      <c r="CE15" s="111" t="str">
        <f ca="1">RESULTADOS!BI32</f>
        <v>Pasa</v>
      </c>
      <c r="CF15" s="111" t="str">
        <f ca="1">RESULTADOS!BJ32</f>
        <v>Pasa</v>
      </c>
      <c r="CG15" s="111" t="str">
        <f ca="1">RESULTADOS!BK32</f>
        <v>Falla</v>
      </c>
      <c r="CH15" s="111" t="str">
        <f ca="1">RESULTADOS!BL32</f>
        <v>Falla</v>
      </c>
      <c r="CI15" s="111" t="str">
        <f ca="1">RESULTADOS!BM32</f>
        <v>Pasa</v>
      </c>
      <c r="CJ15" s="111" t="str">
        <f ca="1">RESULTADOS!BN32</f>
        <v>Pasa</v>
      </c>
      <c r="CK15" s="111" t="str">
        <f ca="1">RESULTADOS!BO32</f>
        <v>Falla</v>
      </c>
      <c r="CL15" s="111" t="str">
        <f ca="1">RESULTADOS!BP32</f>
        <v>N/A</v>
      </c>
      <c r="CM15" s="111" t="str">
        <f ca="1">RESULTADOS!BQ32</f>
        <v>Pasa</v>
      </c>
      <c r="CN15" s="111" t="str">
        <f ca="1">RESULTADOS!BR32</f>
        <v>Falla</v>
      </c>
      <c r="CO15" s="111" t="str">
        <f ca="1">RESULTADOS!BS32</f>
        <v>N/A</v>
      </c>
      <c r="CP15" s="111" t="str">
        <f ca="1">RESULTADOS!BT32</f>
        <v>Pasa</v>
      </c>
      <c r="CQ15" s="111" t="str">
        <f ca="1">RESULTADOS!BU32</f>
        <v>N/A</v>
      </c>
      <c r="CR15" s="111" t="str">
        <f ca="1">RESULTADOS!BV32</f>
        <v>Pasa</v>
      </c>
      <c r="CS15" s="111" t="str">
        <f ca="1">RESULTADOS!BW32</f>
        <v>Pasa</v>
      </c>
      <c r="CT15" s="111" t="str">
        <f ca="1">RESULTADOS!BX32</f>
        <v>Pasa</v>
      </c>
      <c r="CU15" s="111" t="str">
        <f ca="1">RESULTADOS!BY32</f>
        <v>Pasa</v>
      </c>
      <c r="CV15" s="111" t="str">
        <f ca="1">RESULTADOS!BZ32</f>
        <v>N/A</v>
      </c>
      <c r="CW15" s="111" t="str">
        <f ca="1">RESULTADOS!CA32</f>
        <v>Pasa</v>
      </c>
      <c r="CX15" s="111" t="str">
        <f ca="1">RESULTADOS!CB32</f>
        <v>N/A</v>
      </c>
      <c r="CY15" s="111" t="str">
        <f ca="1">RESULTADOS!CC32</f>
        <v>N/A</v>
      </c>
      <c r="CZ15" s="111" t="str">
        <f ca="1">RESULTADOS!CD32</f>
        <v>N/A</v>
      </c>
      <c r="DA15" s="111" t="str">
        <f ca="1">RESULTADOS!CE32</f>
        <v>Pasa</v>
      </c>
      <c r="DB15" s="111" t="str">
        <f ca="1">RESULTADOS!CF32</f>
        <v>N/A</v>
      </c>
      <c r="DC15" s="111" t="str">
        <f ca="1">RESULTADOS!CG32</f>
        <v>Falla</v>
      </c>
      <c r="DD15" s="111" t="str">
        <f ca="1">RESULTADOS!CH32</f>
        <v>Falla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34</v>
      </c>
      <c r="D16" s="112" t="str">
        <f>'01.Definición de ámbito'!C41</f>
        <v>Sistema Operativo: Windows 11 Enterprise
Navegador: Google Chrome Versión 135.0.7049.42 (Build oficial) (64 bits)
Herramientas utilizadas: Tawdis, LightHouse, Color Contrast Analyzer, HeadingsMap, Screen reader, Siteimprove, taba11y,  UserCSS y  Axe DevTools</v>
      </c>
      <c r="F16" s="161"/>
      <c r="G16" s="161"/>
      <c r="H16" s="161"/>
      <c r="I16" s="161"/>
      <c r="J16" s="161"/>
      <c r="T16" s="113">
        <f>RESULTADOS!B33</f>
        <v>14</v>
      </c>
      <c r="U16" s="113" t="str">
        <f>RESULTADOS!C33</f>
        <v>Ley D'Hondt</v>
      </c>
      <c r="V16" s="113" t="str">
        <f t="shared" si="0"/>
        <v>Página web</v>
      </c>
      <c r="W16" s="113" t="str">
        <v>Servicio / Proceso</v>
      </c>
      <c r="X16" s="113" t="str">
        <f>RESULTADOS!D33</f>
        <v>https://elecciones.comunidad.madrid/es/resultados/ley_d_hondt</v>
      </c>
      <c r="Y16" s="113" t="str">
        <v>Home &gt; Información útil  &gt; Simulación método D'Hondt &gt; Simulador  D'Hondt</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Falla</v>
      </c>
      <c r="BL16" s="111" t="str">
        <f ca="1">RESULTADOS!AP33</f>
        <v>Falla</v>
      </c>
      <c r="BM16" s="111" t="str">
        <f ca="1">RESULTADOS!AQ33</f>
        <v>Falla</v>
      </c>
      <c r="BN16" s="111" t="str">
        <f ca="1">RESULTADOS!AR33</f>
        <v>Falla</v>
      </c>
      <c r="BO16" s="111" t="str">
        <f ca="1">RESULTADOS!AS33</f>
        <v>N/A</v>
      </c>
      <c r="BP16" s="111" t="str">
        <f ca="1">RESULTADOS!AT33</f>
        <v>Pasa</v>
      </c>
      <c r="BQ16" s="111" t="str">
        <f ca="1">RESULTADOS!AU33</f>
        <v>N/A</v>
      </c>
      <c r="BR16" s="111" t="str">
        <f ca="1">RESULTADOS!AV33</f>
        <v>Pasa</v>
      </c>
      <c r="BS16" s="111" t="str">
        <f ca="1">RESULTADOS!AW33</f>
        <v>Falla</v>
      </c>
      <c r="BT16" s="111" t="str">
        <f ca="1">RESULTADOS!AX33</f>
        <v>N/A</v>
      </c>
      <c r="BU16" s="111" t="str">
        <f ca="1">RESULTADOS!AY33</f>
        <v>Falla</v>
      </c>
      <c r="BV16" s="111" t="str">
        <f ca="1">RESULTADOS!AZ33</f>
        <v>Falla</v>
      </c>
      <c r="BW16" s="111" t="str">
        <f ca="1">RESULTADOS!BA33</f>
        <v>Pasa</v>
      </c>
      <c r="BX16" s="111" t="str">
        <f ca="1">RESULTADOS!BB33</f>
        <v>Falla</v>
      </c>
      <c r="BY16" s="111" t="str">
        <f ca="1">RESULTADOS!BC33</f>
        <v>Falla</v>
      </c>
      <c r="BZ16" s="111" t="str">
        <f ca="1">RESULTADOS!BD33</f>
        <v>Pasa</v>
      </c>
      <c r="CA16" s="111" t="str">
        <f ca="1">RESULTADOS!BE33</f>
        <v>N/A</v>
      </c>
      <c r="CB16" s="111" t="str">
        <f ca="1">RESULTADOS!BF33</f>
        <v>Pasa</v>
      </c>
      <c r="CC16" s="111" t="str">
        <f ca="1">RESULTADOS!BG33</f>
        <v>N/A</v>
      </c>
      <c r="CD16" s="111" t="str">
        <f ca="1">RESULTADOS!BH33</f>
        <v>N/A</v>
      </c>
      <c r="CE16" s="111" t="str">
        <f ca="1">RESULTADOS!BI33</f>
        <v>Pasa</v>
      </c>
      <c r="CF16" s="111" t="str">
        <f ca="1">RESULTADOS!BJ33</f>
        <v>Falla</v>
      </c>
      <c r="CG16" s="111" t="str">
        <f ca="1">RESULTADOS!BK33</f>
        <v>Falla</v>
      </c>
      <c r="CH16" s="111" t="str">
        <f ca="1">RESULTADOS!BL33</f>
        <v>Falla</v>
      </c>
      <c r="CI16" s="111" t="str">
        <f ca="1">RESULTADOS!BM33</f>
        <v>Falla</v>
      </c>
      <c r="CJ16" s="111" t="str">
        <f ca="1">RESULTADOS!BN33</f>
        <v>Falla</v>
      </c>
      <c r="CK16" s="111" t="str">
        <f ca="1">RESULTADOS!BO33</f>
        <v>Falla</v>
      </c>
      <c r="CL16" s="111" t="str">
        <f ca="1">RESULTADOS!BP33</f>
        <v>N/A</v>
      </c>
      <c r="CM16" s="111" t="str">
        <f ca="1">RESULTADOS!BQ33</f>
        <v>Pasa</v>
      </c>
      <c r="CN16" s="111" t="str">
        <f ca="1">RESULTADOS!BR33</f>
        <v>Falla</v>
      </c>
      <c r="CO16" s="111" t="str">
        <f ca="1">RESULTADOS!BS33</f>
        <v>N/A</v>
      </c>
      <c r="CP16" s="111" t="str">
        <f ca="1">RESULTADOS!BT33</f>
        <v>Pasa</v>
      </c>
      <c r="CQ16" s="111" t="str">
        <f ca="1">RESULTADOS!BU33</f>
        <v>N/A</v>
      </c>
      <c r="CR16" s="111" t="str">
        <f ca="1">RESULTADOS!BV33</f>
        <v>Pasa</v>
      </c>
      <c r="CS16" s="111" t="str">
        <f ca="1">RESULTADOS!BW33</f>
        <v>Pasa</v>
      </c>
      <c r="CT16" s="111" t="str">
        <f ca="1">RESULTADOS!BX33</f>
        <v>Falla</v>
      </c>
      <c r="CU16" s="111" t="str">
        <f ca="1">RESULTADOS!BY33</f>
        <v>Pasa</v>
      </c>
      <c r="CV16" s="111" t="str">
        <f ca="1">RESULTADOS!BZ33</f>
        <v>N/A</v>
      </c>
      <c r="CW16" s="111" t="str">
        <f ca="1">RESULTADOS!CA33</f>
        <v>Falla</v>
      </c>
      <c r="CX16" s="111" t="str">
        <f ca="1">RESULTADOS!CB33</f>
        <v>N/A</v>
      </c>
      <c r="CY16" s="111" t="str">
        <f ca="1">RESULTADOS!CC33</f>
        <v>N/A</v>
      </c>
      <c r="CZ16" s="111" t="str">
        <f ca="1">RESULTADOS!CD33</f>
        <v>N/A</v>
      </c>
      <c r="DA16" s="111" t="str">
        <f ca="1">RESULTADOS!CE33</f>
        <v>Pasa</v>
      </c>
      <c r="DB16" s="111" t="str">
        <f ca="1">RESULTADOS!CF33</f>
        <v>N/A</v>
      </c>
      <c r="DC16" s="111" t="str">
        <f ca="1">RESULTADOS!CG33</f>
        <v>Falla</v>
      </c>
      <c r="DD16" s="111" t="str">
        <f ca="1">RESULTADOS!CH33</f>
        <v>Falla</v>
      </c>
      <c r="DE16" s="111" t="str">
        <f ca="1">RESULTADOS!CI33</f>
        <v>N/A</v>
      </c>
      <c r="DF16" s="111" t="str">
        <f ca="1">RESULTADOS!CJ33</f>
        <v>N/A</v>
      </c>
      <c r="DG16" s="111" t="str">
        <f ca="1">RESULTADOS!CK33</f>
        <v>N/A</v>
      </c>
      <c r="DH16" s="111" t="str">
        <f ca="1">RESULTADOS!CL33</f>
        <v>N/A</v>
      </c>
      <c r="DI16" s="111" t="str">
        <f ca="1">RESULTADOS!CM33</f>
        <v>N/A</v>
      </c>
      <c r="DJ16" s="111" t="str">
        <f ca="1">RESULTADOS!CN33</f>
        <v>N/A</v>
      </c>
      <c r="DK16" s="111" t="str">
        <f ca="1">RESULTADOS!CO33</f>
        <v>N/A</v>
      </c>
      <c r="DL16" s="111" t="str">
        <f ca="1">RESULTADOS!CP33</f>
        <v>N/A</v>
      </c>
      <c r="DM16" s="111" t="str">
        <f ca="1">RESULTADOS!CQ33</f>
        <v>N/A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36</v>
      </c>
      <c r="D17" s="112" t="str">
        <f>'01.Definición de ámbito'!C45</f>
        <v>CCAA</v>
      </c>
      <c r="K17" t="s">
        <v>547</v>
      </c>
      <c r="T17" s="113">
        <f>RESULTADOS!B34</f>
        <v>15</v>
      </c>
      <c r="U17" s="113" t="str">
        <f>RESULTADOS!C34</f>
        <v>Voto por correo elector CERA en España</v>
      </c>
      <c r="V17" s="113" t="str">
        <f t="shared" si="0"/>
        <v>Página web</v>
      </c>
      <c r="W17" s="113" t="str">
        <v>Pagina tipo</v>
      </c>
      <c r="X17" s="113" t="str">
        <f>RESULTADOS!D34</f>
        <v>https://elecciones.comunidad.madrid/es/preguntas-frecuentes/voto-correo-electores-residentes-extranjero</v>
      </c>
      <c r="Y17" s="113" t="str">
        <v>Home &gt; Información útil  &gt; Preguntas más frecuentes &gt; Voto por correo elector CERA en España</v>
      </c>
      <c r="Z17" s="188">
        <v>0</v>
      </c>
      <c r="AA17" s="111" t="str">
        <f ca="1">RESULTADOS!E34</f>
        <v>Falla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N/A</v>
      </c>
      <c r="BI17" s="111" t="str">
        <f ca="1">RESULTADOS!AM34</f>
        <v>N/A</v>
      </c>
      <c r="BJ17" s="111" t="str">
        <f ca="1">RESULTADOS!AN34</f>
        <v>N/A</v>
      </c>
      <c r="BK17" s="111" t="str">
        <f ca="1">RESULTADOS!AO34</f>
        <v>Falla</v>
      </c>
      <c r="BL17" s="111" t="str">
        <f ca="1">RESULTADOS!AP34</f>
        <v>Falla</v>
      </c>
      <c r="BM17" s="111" t="str">
        <f ca="1">RESULTADOS!AQ34</f>
        <v>Falla</v>
      </c>
      <c r="BN17" s="111" t="str">
        <f ca="1">RESULTADOS!AR34</f>
        <v>Falla</v>
      </c>
      <c r="BO17" s="111" t="str">
        <f ca="1">RESULTADOS!AS34</f>
        <v>N/A</v>
      </c>
      <c r="BP17" s="111" t="str">
        <f ca="1">RESULTADOS!AT34</f>
        <v>Pasa</v>
      </c>
      <c r="BQ17" s="111" t="str">
        <f ca="1">RESULTADOS!AU34</f>
        <v>N/A</v>
      </c>
      <c r="BR17" s="111" t="str">
        <f ca="1">RESULTADOS!AV34</f>
        <v>Pasa</v>
      </c>
      <c r="BS17" s="111" t="str">
        <f ca="1">RESULTADOS!AW34</f>
        <v>Falla</v>
      </c>
      <c r="BT17" s="111" t="str">
        <f ca="1">RESULTADOS!AX34</f>
        <v>N/A</v>
      </c>
      <c r="BU17" s="111" t="str">
        <f ca="1">RESULTADOS!AY34</f>
        <v>Falla</v>
      </c>
      <c r="BV17" s="111" t="str">
        <f ca="1">RESULTADOS!AZ34</f>
        <v>Falla</v>
      </c>
      <c r="BW17" s="111" t="str">
        <f ca="1">RESULTADOS!BA34</f>
        <v>Pasa</v>
      </c>
      <c r="BX17" s="111" t="str">
        <f ca="1">RESULTADOS!BB34</f>
        <v>Falla</v>
      </c>
      <c r="BY17" s="111" t="str">
        <f ca="1">RESULTADOS!BC34</f>
        <v>Falla</v>
      </c>
      <c r="BZ17" s="111" t="str">
        <f ca="1">RESULTADOS!BD34</f>
        <v>Pasa</v>
      </c>
      <c r="CA17" s="111" t="str">
        <f ca="1">RESULTADOS!BE34</f>
        <v>N/A</v>
      </c>
      <c r="CB17" s="111" t="str">
        <f ca="1">RESULTADOS!BF34</f>
        <v>Pasa</v>
      </c>
      <c r="CC17" s="111" t="str">
        <f ca="1">RESULTADOS!BG34</f>
        <v>N/A</v>
      </c>
      <c r="CD17" s="111" t="str">
        <f ca="1">RESULTADOS!BH34</f>
        <v>N/A</v>
      </c>
      <c r="CE17" s="111" t="str">
        <f ca="1">RESULTADOS!BI34</f>
        <v>Pasa</v>
      </c>
      <c r="CF17" s="111" t="str">
        <f ca="1">RESULTADOS!BJ34</f>
        <v>Pasa</v>
      </c>
      <c r="CG17" s="111" t="str">
        <f ca="1">RESULTADOS!BK34</f>
        <v>Falla</v>
      </c>
      <c r="CH17" s="111" t="str">
        <f ca="1">RESULTADOS!BL34</f>
        <v>Falla</v>
      </c>
      <c r="CI17" s="111" t="str">
        <f ca="1">RESULTADOS!BM34</f>
        <v>Pasa</v>
      </c>
      <c r="CJ17" s="111" t="str">
        <f ca="1">RESULTADOS!BN34</f>
        <v>Pasa</v>
      </c>
      <c r="CK17" s="111" t="str">
        <f ca="1">RESULTADOS!BO34</f>
        <v>Falla</v>
      </c>
      <c r="CL17" s="111" t="str">
        <f ca="1">RESULTADOS!BP34</f>
        <v>N/A</v>
      </c>
      <c r="CM17" s="111" t="str">
        <f ca="1">RESULTADOS!BQ34</f>
        <v>Pasa</v>
      </c>
      <c r="CN17" s="111" t="str">
        <f ca="1">RESULTADOS!BR34</f>
        <v>Falla</v>
      </c>
      <c r="CO17" s="111" t="str">
        <f ca="1">RESULTADOS!BS34</f>
        <v>N/A</v>
      </c>
      <c r="CP17" s="111" t="str">
        <f ca="1">RESULTADOS!BT34</f>
        <v>Pasa</v>
      </c>
      <c r="CQ17" s="111" t="str">
        <f ca="1">RESULTADOS!BU34</f>
        <v>N/A</v>
      </c>
      <c r="CR17" s="111" t="str">
        <f ca="1">RESULTADOS!BV34</f>
        <v>Pasa</v>
      </c>
      <c r="CS17" s="111" t="str">
        <f ca="1">RESULTADOS!BW34</f>
        <v>Pasa</v>
      </c>
      <c r="CT17" s="111" t="str">
        <f ca="1">RESULTADOS!BX34</f>
        <v>Falla</v>
      </c>
      <c r="CU17" s="111" t="str">
        <f ca="1">RESULTADOS!BY34</f>
        <v>Pasa</v>
      </c>
      <c r="CV17" s="111" t="str">
        <f ca="1">RESULTADOS!BZ34</f>
        <v>N/A</v>
      </c>
      <c r="CW17" s="111" t="str">
        <f ca="1">RESULTADOS!CA34</f>
        <v>Pasa</v>
      </c>
      <c r="CX17" s="111" t="str">
        <f ca="1">RESULTADOS!CB34</f>
        <v>N/A</v>
      </c>
      <c r="CY17" s="111" t="str">
        <f ca="1">RESULTADOS!CC34</f>
        <v>N/A</v>
      </c>
      <c r="CZ17" s="111" t="str">
        <f ca="1">RESULTADOS!CD34</f>
        <v>N/A</v>
      </c>
      <c r="DA17" s="111" t="str">
        <f ca="1">RESULTADOS!CE34</f>
        <v>Pasa</v>
      </c>
      <c r="DB17" s="111" t="str">
        <f ca="1">RESULTADOS!CF34</f>
        <v>N/A</v>
      </c>
      <c r="DC17" s="111" t="str">
        <f ca="1">RESULTADOS!CG34</f>
        <v>Falla</v>
      </c>
      <c r="DD17" s="111" t="str">
        <f ca="1">RESULTADOS!CH34</f>
        <v>Falla</v>
      </c>
      <c r="DE17" s="111" t="str">
        <f ca="1">RESULTADOS!CI34</f>
        <v>N/A</v>
      </c>
      <c r="DF17" s="111" t="str">
        <f ca="1">RESULTADOS!CJ34</f>
        <v>N/A</v>
      </c>
      <c r="DG17" s="111" t="str">
        <f ca="1">RESULTADOS!CK34</f>
        <v>N/A</v>
      </c>
      <c r="DH17" s="111" t="str">
        <f ca="1">RESULTADOS!CL34</f>
        <v>N/A</v>
      </c>
      <c r="DI17" s="111" t="str">
        <f ca="1">RESULTADOS!CM34</f>
        <v>N/A</v>
      </c>
      <c r="DJ17" s="111" t="str">
        <f ca="1">RESULTADOS!CN34</f>
        <v>N/A</v>
      </c>
      <c r="DK17" s="111" t="str">
        <f ca="1">RESULTADOS!CO34</f>
        <v>N/A</v>
      </c>
      <c r="DL17" s="111" t="str">
        <f ca="1">RESULTADOS!CP34</f>
        <v>N/A</v>
      </c>
      <c r="DM17" s="111" t="str">
        <f ca="1">RESULTADOS!CQ34</f>
        <v>N/A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42</v>
      </c>
      <c r="D18" s="112" t="str">
        <f>'01.Definición de ámbito'!D48</f>
        <v>No</v>
      </c>
      <c r="K18" t="s">
        <v>174</v>
      </c>
      <c r="L18" s="113">
        <f ca="1">RESULTADOS!L8</f>
        <v>356</v>
      </c>
      <c r="M18" s="171">
        <f ca="1">RESULTADOS!M8</f>
        <v>0.19347826086956521</v>
      </c>
      <c r="T18" s="113">
        <f>RESULTADOS!B35</f>
        <v>16</v>
      </c>
      <c r="U18" s="113" t="str">
        <f>RESULTADOS!C35</f>
        <v>Contacto</v>
      </c>
      <c r="V18" s="113" t="str">
        <f t="shared" si="0"/>
        <v>Página web</v>
      </c>
      <c r="W18" s="113" t="str">
        <v>Contacto</v>
      </c>
      <c r="X18" s="113" t="str">
        <f>RESULTADOS!D35</f>
        <v>https://elecciones.comunidad.madrid/es/buzon-de-sugerencias</v>
      </c>
      <c r="Y18" s="113" t="str">
        <v>Home &gt; Icono lupa  (Contacto) &gt; Contacto</v>
      </c>
      <c r="Z18" s="188">
        <v>0</v>
      </c>
      <c r="AA18" s="111" t="str">
        <f ca="1">RESULTADOS!E35</f>
        <v>N/A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Falla</v>
      </c>
      <c r="BL18" s="111" t="str">
        <f ca="1">RESULTADOS!AP35</f>
        <v>Falla</v>
      </c>
      <c r="BM18" s="111" t="str">
        <f ca="1">RESULTADOS!AQ35</f>
        <v>Falla</v>
      </c>
      <c r="BN18" s="111" t="str">
        <f ca="1">RESULTADOS!AR35</f>
        <v>Falla</v>
      </c>
      <c r="BO18" s="111" t="str">
        <f ca="1">RESULTADOS!AS35</f>
        <v>Falla</v>
      </c>
      <c r="BP18" s="111" t="str">
        <f ca="1">RESULTADOS!AT35</f>
        <v>Falla</v>
      </c>
      <c r="BQ18" s="111" t="str">
        <f ca="1">RESULTADOS!AU35</f>
        <v>N/A</v>
      </c>
      <c r="BR18" s="111" t="str">
        <f ca="1">RESULTADOS!AV35</f>
        <v>Pasa</v>
      </c>
      <c r="BS18" s="111" t="str">
        <f ca="1">RESULTADOS!AW35</f>
        <v>Falla</v>
      </c>
      <c r="BT18" s="111" t="str">
        <f ca="1">RESULTADOS!AX35</f>
        <v>N/A</v>
      </c>
      <c r="BU18" s="111" t="str">
        <f ca="1">RESULTADOS!AY35</f>
        <v>Falla</v>
      </c>
      <c r="BV18" s="111" t="str">
        <f ca="1">RESULTADOS!AZ35</f>
        <v>Falla</v>
      </c>
      <c r="BW18" s="111" t="str">
        <f ca="1">RESULTADOS!BA35</f>
        <v>Pasa</v>
      </c>
      <c r="BX18" s="111" t="str">
        <f ca="1">RESULTADOS!BB35</f>
        <v>Falla</v>
      </c>
      <c r="BY18" s="111" t="str">
        <f ca="1">RESULTADOS!BC35</f>
        <v>Falla</v>
      </c>
      <c r="BZ18" s="111" t="str">
        <f ca="1">RESULTADOS!BD35</f>
        <v>Pasa</v>
      </c>
      <c r="CA18" s="111" t="str">
        <f ca="1">RESULTADOS!BE35</f>
        <v>N/A</v>
      </c>
      <c r="CB18" s="111" t="str">
        <f ca="1">RESULTADOS!BF35</f>
        <v>Pasa</v>
      </c>
      <c r="CC18" s="111" t="str">
        <f ca="1">RESULTADOS!BG35</f>
        <v>N/A</v>
      </c>
      <c r="CD18" s="111" t="str">
        <f ca="1">RESULTADOS!BH35</f>
        <v>N/A</v>
      </c>
      <c r="CE18" s="111" t="str">
        <f ca="1">RESULTADOS!BI35</f>
        <v>Pasa</v>
      </c>
      <c r="CF18" s="111" t="str">
        <f ca="1">RESULTADOS!BJ35</f>
        <v>Falla</v>
      </c>
      <c r="CG18" s="111" t="str">
        <f ca="1">RESULTADOS!BK35</f>
        <v>Falla</v>
      </c>
      <c r="CH18" s="111" t="str">
        <f ca="1">RESULTADOS!BL35</f>
        <v>Falla</v>
      </c>
      <c r="CI18" s="111" t="str">
        <f ca="1">RESULTADOS!BM35</f>
        <v>Pasa</v>
      </c>
      <c r="CJ18" s="111" t="str">
        <f ca="1">RESULTADOS!BN35</f>
        <v>Falla</v>
      </c>
      <c r="CK18" s="111" t="str">
        <f ca="1">RESULTADOS!BO35</f>
        <v>Falla</v>
      </c>
      <c r="CL18" s="111" t="str">
        <f ca="1">RESULTADOS!BP35</f>
        <v>N/A</v>
      </c>
      <c r="CM18" s="111" t="str">
        <f ca="1">RESULTADOS!BQ35</f>
        <v>Pasa</v>
      </c>
      <c r="CN18" s="111" t="str">
        <f ca="1">RESULTADOS!BR35</f>
        <v>Falla</v>
      </c>
      <c r="CO18" s="111" t="str">
        <f ca="1">RESULTADOS!BS35</f>
        <v>N/A</v>
      </c>
      <c r="CP18" s="111" t="str">
        <f ca="1">RESULTADOS!BT35</f>
        <v>Pasa</v>
      </c>
      <c r="CQ18" s="111" t="str">
        <f ca="1">RESULTADOS!BU35</f>
        <v>N/A</v>
      </c>
      <c r="CR18" s="111" t="str">
        <f ca="1">RESULTADOS!BV35</f>
        <v>Pasa</v>
      </c>
      <c r="CS18" s="111" t="str">
        <f ca="1">RESULTADOS!BW35</f>
        <v>Pasa</v>
      </c>
      <c r="CT18" s="111" t="str">
        <f ca="1">RESULTADOS!BX35</f>
        <v>Falla</v>
      </c>
      <c r="CU18" s="111" t="str">
        <f ca="1">RESULTADOS!BY35</f>
        <v>Pasa</v>
      </c>
      <c r="CV18" s="111" t="str">
        <f ca="1">RESULTADOS!BZ35</f>
        <v>Pasa</v>
      </c>
      <c r="CW18" s="111" t="str">
        <f ca="1">RESULTADOS!CA35</f>
        <v>Falla</v>
      </c>
      <c r="CX18" s="111" t="str">
        <f ca="1">RESULTADOS!CB35</f>
        <v>Pasa</v>
      </c>
      <c r="CY18" s="111" t="str">
        <f ca="1">RESULTADOS!CC35</f>
        <v>N/A</v>
      </c>
      <c r="CZ18" s="111" t="str">
        <f ca="1">RESULTADOS!CD35</f>
        <v>N/A</v>
      </c>
      <c r="DA18" s="111" t="str">
        <f ca="1">RESULTADOS!CE35</f>
        <v>Pasa</v>
      </c>
      <c r="DB18" s="111" t="str">
        <f ca="1">RESULTADOS!CF35</f>
        <v>N/A</v>
      </c>
      <c r="DC18" s="111" t="str">
        <f ca="1">RESULTADOS!CG35</f>
        <v>Falla</v>
      </c>
      <c r="DD18" s="111" t="str">
        <f ca="1">RESULTADOS!CH35</f>
        <v>Falla</v>
      </c>
      <c r="DE18" s="111" t="str">
        <f ca="1">RESULTADOS!CI35</f>
        <v>N/A</v>
      </c>
      <c r="DF18" s="111" t="str">
        <f ca="1">RESULTADOS!CJ35</f>
        <v>N/A</v>
      </c>
      <c r="DG18" s="111" t="str">
        <f ca="1">RESULTADOS!CK35</f>
        <v>N/A</v>
      </c>
      <c r="DH18" s="111" t="str">
        <f ca="1">RESULTADOS!CL35</f>
        <v>N/A</v>
      </c>
      <c r="DI18" s="111" t="str">
        <f ca="1">RESULTADOS!CM35</f>
        <v>N/A</v>
      </c>
      <c r="DJ18" s="111" t="str">
        <f ca="1">RESULTADOS!CN35</f>
        <v>N/A</v>
      </c>
      <c r="DK18" s="111" t="str">
        <f ca="1">RESULTADOS!CO35</f>
        <v>N/A</v>
      </c>
      <c r="DL18" s="111" t="str">
        <f ca="1">RESULTADOS!CP35</f>
        <v>N/A</v>
      </c>
      <c r="DM18" s="111" t="str">
        <f ca="1">RESULTADOS!CQ35</f>
        <v>N/A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44</v>
      </c>
      <c r="D19" s="112" t="str">
        <f>'01.Definición de ámbito'!D49</f>
        <v>No</v>
      </c>
      <c r="K19" t="s">
        <v>176</v>
      </c>
      <c r="L19" s="113">
        <f ca="1">RESULTADOS!L9</f>
        <v>354</v>
      </c>
      <c r="M19" s="171">
        <f ca="1">RESULTADOS!M9</f>
        <v>0.19239130434782609</v>
      </c>
      <c r="T19" s="113">
        <f>RESULTADOS!B36</f>
        <v>17</v>
      </c>
      <c r="U19" s="113" t="str">
        <f>RESULTADOS!C36</f>
        <v>Buscador</v>
      </c>
      <c r="V19" s="113" t="str">
        <f t="shared" si="0"/>
        <v>Página web</v>
      </c>
      <c r="W19" s="113" t="str">
        <v>Búsqueda</v>
      </c>
      <c r="X19" s="113" t="str">
        <f>RESULTADOS!D36</f>
        <v>https://elecciones.comunidad.madrid/es/search?search_api_fulltext=partido</v>
      </c>
      <c r="Y19" s="113" t="str">
        <v>Home &gt; Icono lupa &gt; Icono lupa (buscar = partido)</v>
      </c>
      <c r="Z19" s="188" t="str">
        <v>Texto</v>
      </c>
      <c r="AA19" s="111" t="str">
        <f ca="1">RESULTADOS!E36</f>
        <v>N/A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Pasa</v>
      </c>
      <c r="BG19" s="111" t="str">
        <f ca="1">RESULTADOS!AK36</f>
        <v>N/A</v>
      </c>
      <c r="BH19" s="111" t="str">
        <f ca="1">RESULTADOS!AL36</f>
        <v>N/A</v>
      </c>
      <c r="BI19" s="111" t="str">
        <f ca="1">RESULTADOS!AM36</f>
        <v>N/A</v>
      </c>
      <c r="BJ19" s="111" t="str">
        <f ca="1">RESULTADOS!AN36</f>
        <v>N/A</v>
      </c>
      <c r="BK19" s="111" t="str">
        <f ca="1">RESULTADOS!AO36</f>
        <v>Falla</v>
      </c>
      <c r="BL19" s="111" t="str">
        <f ca="1">RESULTADOS!AP36</f>
        <v>Falla</v>
      </c>
      <c r="BM19" s="111" t="str">
        <f ca="1">RESULTADOS!AQ36</f>
        <v>Falla</v>
      </c>
      <c r="BN19" s="111" t="str">
        <f ca="1">RESULTADOS!AR36</f>
        <v>Falla</v>
      </c>
      <c r="BO19" s="111" t="str">
        <f ca="1">RESULTADOS!AS36</f>
        <v>N/A</v>
      </c>
      <c r="BP19" s="111" t="str">
        <f ca="1">RESULTADOS!AT36</f>
        <v>Pasa</v>
      </c>
      <c r="BQ19" s="111" t="str">
        <f ca="1">RESULTADOS!AU36</f>
        <v>N/A</v>
      </c>
      <c r="BR19" s="111" t="str">
        <f ca="1">RESULTADOS!AV36</f>
        <v>Pasa</v>
      </c>
      <c r="BS19" s="111" t="str">
        <f ca="1">RESULTADOS!AW36</f>
        <v>Falla</v>
      </c>
      <c r="BT19" s="111" t="str">
        <f ca="1">RESULTADOS!AX36</f>
        <v>N/A</v>
      </c>
      <c r="BU19" s="111" t="str">
        <f ca="1">RESULTADOS!AY36</f>
        <v>Falla</v>
      </c>
      <c r="BV19" s="111" t="str">
        <f ca="1">RESULTADOS!AZ36</f>
        <v>Falla</v>
      </c>
      <c r="BW19" s="111" t="str">
        <f ca="1">RESULTADOS!BA36</f>
        <v>Pasa</v>
      </c>
      <c r="BX19" s="111" t="str">
        <f ca="1">RESULTADOS!BB36</f>
        <v>Falla</v>
      </c>
      <c r="BY19" s="111" t="str">
        <f ca="1">RESULTADOS!BC36</f>
        <v>Falla</v>
      </c>
      <c r="BZ19" s="111" t="str">
        <f ca="1">RESULTADOS!BD36</f>
        <v>Pasa</v>
      </c>
      <c r="CA19" s="111" t="str">
        <f ca="1">RESULTADOS!BE36</f>
        <v>N/A</v>
      </c>
      <c r="CB19" s="111" t="str">
        <f ca="1">RESULTADOS!BF36</f>
        <v>Pasa</v>
      </c>
      <c r="CC19" s="111" t="str">
        <f ca="1">RESULTADOS!BG36</f>
        <v>N/A</v>
      </c>
      <c r="CD19" s="111" t="str">
        <f ca="1">RESULTADOS!BH36</f>
        <v>N/A</v>
      </c>
      <c r="CE19" s="111" t="str">
        <f ca="1">RESULTADOS!BI36</f>
        <v>Pasa</v>
      </c>
      <c r="CF19" s="111" t="str">
        <f ca="1">RESULTADOS!BJ36</f>
        <v>Pasa</v>
      </c>
      <c r="CG19" s="111" t="str">
        <f ca="1">RESULTADOS!BK36</f>
        <v>Falla</v>
      </c>
      <c r="CH19" s="111" t="str">
        <f ca="1">RESULTADOS!BL36</f>
        <v>Falla</v>
      </c>
      <c r="CI19" s="111" t="str">
        <f ca="1">RESULTADOS!BM36</f>
        <v>Pasa</v>
      </c>
      <c r="CJ19" s="111" t="str">
        <f ca="1">RESULTADOS!BN36</f>
        <v>Pasa</v>
      </c>
      <c r="CK19" s="111" t="str">
        <f ca="1">RESULTADOS!BO36</f>
        <v>Falla</v>
      </c>
      <c r="CL19" s="111" t="str">
        <f ca="1">RESULTADOS!BP36</f>
        <v>N/A</v>
      </c>
      <c r="CM19" s="111" t="str">
        <f ca="1">RESULTADOS!BQ36</f>
        <v>Pasa</v>
      </c>
      <c r="CN19" s="111" t="str">
        <f ca="1">RESULTADOS!BR36</f>
        <v>Falla</v>
      </c>
      <c r="CO19" s="111" t="str">
        <f ca="1">RESULTADOS!BS36</f>
        <v>N/A</v>
      </c>
      <c r="CP19" s="111" t="str">
        <f ca="1">RESULTADOS!BT36</f>
        <v>Pasa</v>
      </c>
      <c r="CQ19" s="111" t="str">
        <f ca="1">RESULTADOS!BU36</f>
        <v>N/A</v>
      </c>
      <c r="CR19" s="111" t="str">
        <f ca="1">RESULTADOS!BV36</f>
        <v>Pasa</v>
      </c>
      <c r="CS19" s="111" t="str">
        <f ca="1">RESULTADOS!BW36</f>
        <v>Pasa</v>
      </c>
      <c r="CT19" s="111" t="str">
        <f ca="1">RESULTADOS!BX36</f>
        <v>Pasa</v>
      </c>
      <c r="CU19" s="111" t="str">
        <f ca="1">RESULTADOS!BY36</f>
        <v>Pasa</v>
      </c>
      <c r="CV19" s="111" t="str">
        <f ca="1">RESULTADOS!BZ36</f>
        <v>N/A</v>
      </c>
      <c r="CW19" s="111" t="str">
        <f ca="1">RESULTADOS!CA36</f>
        <v>Pasa</v>
      </c>
      <c r="CX19" s="111" t="str">
        <f ca="1">RESULTADOS!CB36</f>
        <v>N/A</v>
      </c>
      <c r="CY19" s="111" t="str">
        <f ca="1">RESULTADOS!CC36</f>
        <v>N/A</v>
      </c>
      <c r="CZ19" s="111" t="str">
        <f ca="1">RESULTADOS!CD36</f>
        <v>N/A</v>
      </c>
      <c r="DA19" s="111" t="str">
        <f ca="1">RESULTADOS!CE36</f>
        <v>Pasa</v>
      </c>
      <c r="DB19" s="111" t="str">
        <f ca="1">RESULTADOS!CF36</f>
        <v>N/A</v>
      </c>
      <c r="DC19" s="111" t="str">
        <f ca="1">RESULTADOS!CG36</f>
        <v>Falla</v>
      </c>
      <c r="DD19" s="111" t="str">
        <f ca="1">RESULTADOS!CH36</f>
        <v>Falla</v>
      </c>
      <c r="DE19" s="111" t="str">
        <f ca="1">RESULTADOS!CI36</f>
        <v>N/A</v>
      </c>
      <c r="DF19" s="111" t="str">
        <f ca="1">RESULTADOS!CJ36</f>
        <v>N/A</v>
      </c>
      <c r="DG19" s="111" t="str">
        <f ca="1">RESULTADOS!CK36</f>
        <v>N/A</v>
      </c>
      <c r="DH19" s="111" t="str">
        <f ca="1">RESULTADOS!CL36</f>
        <v>N/A</v>
      </c>
      <c r="DI19" s="111" t="str">
        <f ca="1">RESULTADOS!CM36</f>
        <v>N/A</v>
      </c>
      <c r="DJ19" s="111" t="str">
        <f ca="1">RESULTADOS!CN36</f>
        <v>N/A</v>
      </c>
      <c r="DK19" s="111" t="str">
        <f ca="1">RESULTADOS!CO36</f>
        <v>N/A</v>
      </c>
      <c r="DL19" s="111" t="str">
        <f ca="1">RESULTADOS!CP36</f>
        <v>N/A</v>
      </c>
      <c r="DM19" s="111" t="str">
        <f ca="1">RESULTADOS!CQ36</f>
        <v>N/A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45</v>
      </c>
      <c r="D20" s="112" t="str">
        <f>'01.Definición de ámbito'!D50</f>
        <v>No</v>
      </c>
      <c r="K20" t="s">
        <v>179</v>
      </c>
      <c r="L20" s="113">
        <f ca="1">RESULTADOS!L10</f>
        <v>1130</v>
      </c>
      <c r="M20" s="171">
        <f ca="1">RESULTADOS!M10</f>
        <v>0.61413043478260865</v>
      </c>
      <c r="T20" s="113">
        <f>RESULTADOS!B37</f>
        <v>18</v>
      </c>
      <c r="U20" s="113" t="str">
        <f>RESULTADOS!C37</f>
        <v>Aviso Legal-Privacidad</v>
      </c>
      <c r="V20" s="113" t="str">
        <f t="shared" si="0"/>
        <v>Página web</v>
      </c>
      <c r="W20" s="113" t="str">
        <v>Legal</v>
      </c>
      <c r="X20" s="113" t="str">
        <f>RESULTADOS!D37</f>
        <v>https://elecciones.comunidad.madrid/es/aviso-legal</v>
      </c>
      <c r="Y20" s="113" t="str">
        <v>Home &gt; Aviso Legal - Privacidad</v>
      </c>
      <c r="Z20" s="188" t="str">
        <v>Texto</v>
      </c>
      <c r="AA20" s="111" t="str">
        <f ca="1">RESULTADOS!E37</f>
        <v>Falla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Pasa</v>
      </c>
      <c r="BG20" s="111" t="str">
        <f ca="1">RESULTADOS!AK37</f>
        <v>N/A</v>
      </c>
      <c r="BH20" s="111" t="str">
        <f ca="1">RESULTADOS!AL37</f>
        <v>N/A</v>
      </c>
      <c r="BI20" s="111" t="str">
        <f ca="1">RESULTADOS!AM37</f>
        <v>N/A</v>
      </c>
      <c r="BJ20" s="111" t="str">
        <f ca="1">RESULTADOS!AN37</f>
        <v>N/A</v>
      </c>
      <c r="BK20" s="111" t="str">
        <f ca="1">RESULTADOS!AO37</f>
        <v>Falla</v>
      </c>
      <c r="BL20" s="111" t="str">
        <f ca="1">RESULTADOS!AP37</f>
        <v>Falla</v>
      </c>
      <c r="BM20" s="111" t="str">
        <f ca="1">RESULTADOS!AQ37</f>
        <v>Falla</v>
      </c>
      <c r="BN20" s="111" t="str">
        <f ca="1">RESULTADOS!AR37</f>
        <v>Falla</v>
      </c>
      <c r="BO20" s="111" t="str">
        <f ca="1">RESULTADOS!AS37</f>
        <v>N/A</v>
      </c>
      <c r="BP20" s="111" t="str">
        <f ca="1">RESULTADOS!AT37</f>
        <v>Pasa</v>
      </c>
      <c r="BQ20" s="111" t="str">
        <f ca="1">RESULTADOS!AU37</f>
        <v>N/A</v>
      </c>
      <c r="BR20" s="111" t="str">
        <f ca="1">RESULTADOS!AV37</f>
        <v>Pasa</v>
      </c>
      <c r="BS20" s="111" t="str">
        <f ca="1">RESULTADOS!AW37</f>
        <v>Falla</v>
      </c>
      <c r="BT20" s="111" t="str">
        <f ca="1">RESULTADOS!AX37</f>
        <v>N/A</v>
      </c>
      <c r="BU20" s="111" t="str">
        <f ca="1">RESULTADOS!AY37</f>
        <v>Falla</v>
      </c>
      <c r="BV20" s="111" t="str">
        <f ca="1">RESULTADOS!AZ37</f>
        <v>Falla</v>
      </c>
      <c r="BW20" s="111" t="str">
        <f ca="1">RESULTADOS!BA37</f>
        <v>Pasa</v>
      </c>
      <c r="BX20" s="111" t="str">
        <f ca="1">RESULTADOS!BB37</f>
        <v>Falla</v>
      </c>
      <c r="BY20" s="111" t="str">
        <f ca="1">RESULTADOS!BC37</f>
        <v>Falla</v>
      </c>
      <c r="BZ20" s="111" t="str">
        <f ca="1">RESULTADOS!BD37</f>
        <v>Pasa</v>
      </c>
      <c r="CA20" s="111" t="str">
        <f ca="1">RESULTADOS!BE37</f>
        <v>N/A</v>
      </c>
      <c r="CB20" s="111" t="str">
        <f ca="1">RESULTADOS!BF37</f>
        <v>Pasa</v>
      </c>
      <c r="CC20" s="111" t="str">
        <f ca="1">RESULTADOS!BG37</f>
        <v>N/A</v>
      </c>
      <c r="CD20" s="111" t="str">
        <f ca="1">RESULTADOS!BH37</f>
        <v>N/A</v>
      </c>
      <c r="CE20" s="111" t="str">
        <f ca="1">RESULTADOS!BI37</f>
        <v>Pasa</v>
      </c>
      <c r="CF20" s="111" t="str">
        <f ca="1">RESULTADOS!BJ37</f>
        <v>Pasa</v>
      </c>
      <c r="CG20" s="111" t="str">
        <f ca="1">RESULTADOS!BK37</f>
        <v>Falla</v>
      </c>
      <c r="CH20" s="111" t="str">
        <f ca="1">RESULTADOS!BL37</f>
        <v>Falla</v>
      </c>
      <c r="CI20" s="111" t="str">
        <f ca="1">RESULTADOS!BM37</f>
        <v>Pasa</v>
      </c>
      <c r="CJ20" s="111" t="str">
        <f ca="1">RESULTADOS!BN37</f>
        <v>Pasa</v>
      </c>
      <c r="CK20" s="111" t="str">
        <f ca="1">RESULTADOS!BO37</f>
        <v>Falla</v>
      </c>
      <c r="CL20" s="111" t="str">
        <f ca="1">RESULTADOS!BP37</f>
        <v>N/A</v>
      </c>
      <c r="CM20" s="111" t="str">
        <f ca="1">RESULTADOS!BQ37</f>
        <v>Pasa</v>
      </c>
      <c r="CN20" s="111" t="str">
        <f ca="1">RESULTADOS!BR37</f>
        <v>Falla</v>
      </c>
      <c r="CO20" s="111" t="str">
        <f ca="1">RESULTADOS!BS37</f>
        <v>N/A</v>
      </c>
      <c r="CP20" s="111" t="str">
        <f ca="1">RESULTADOS!BT37</f>
        <v>Pasa</v>
      </c>
      <c r="CQ20" s="111" t="str">
        <f ca="1">RESULTADOS!BU37</f>
        <v>N/A</v>
      </c>
      <c r="CR20" s="111" t="str">
        <f ca="1">RESULTADOS!BV37</f>
        <v>Pasa</v>
      </c>
      <c r="CS20" s="111" t="str">
        <f ca="1">RESULTADOS!BW37</f>
        <v>Pasa</v>
      </c>
      <c r="CT20" s="111" t="str">
        <f ca="1">RESULTADOS!BX37</f>
        <v>Pasa</v>
      </c>
      <c r="CU20" s="111" t="str">
        <f ca="1">RESULTADOS!BY37</f>
        <v>Pasa</v>
      </c>
      <c r="CV20" s="111" t="str">
        <f ca="1">RESULTADOS!BZ37</f>
        <v>N/A</v>
      </c>
      <c r="CW20" s="111" t="str">
        <f ca="1">RESULTADOS!CA37</f>
        <v>Pasa</v>
      </c>
      <c r="CX20" s="111" t="str">
        <f ca="1">RESULTADOS!CB37</f>
        <v>N/A</v>
      </c>
      <c r="CY20" s="111" t="str">
        <f ca="1">RESULTADOS!CC37</f>
        <v>N/A</v>
      </c>
      <c r="CZ20" s="111" t="str">
        <f ca="1">RESULTADOS!CD37</f>
        <v>N/A</v>
      </c>
      <c r="DA20" s="111" t="str">
        <f ca="1">RESULTADOS!CE37</f>
        <v>Pasa</v>
      </c>
      <c r="DB20" s="111" t="str">
        <f ca="1">RESULTADOS!CF37</f>
        <v>N/A</v>
      </c>
      <c r="DC20" s="111" t="str">
        <f ca="1">RESULTADOS!CG37</f>
        <v>Falla</v>
      </c>
      <c r="DD20" s="111" t="str">
        <f ca="1">RESULTADOS!CH37</f>
        <v>Falla</v>
      </c>
      <c r="DE20" s="111" t="str">
        <f ca="1">RESULTADOS!CI37</f>
        <v>N/A</v>
      </c>
      <c r="DF20" s="111" t="str">
        <f ca="1">RESULTADOS!CJ37</f>
        <v>N/A</v>
      </c>
      <c r="DG20" s="111" t="str">
        <f ca="1">RESULTADOS!CK37</f>
        <v>N/A</v>
      </c>
      <c r="DH20" s="111" t="str">
        <f ca="1">RESULTADOS!CL37</f>
        <v>N/A</v>
      </c>
      <c r="DI20" s="111" t="str">
        <f ca="1">RESULTADOS!CM37</f>
        <v>N/A</v>
      </c>
      <c r="DJ20" s="111" t="str">
        <f ca="1">RESULTADOS!CN37</f>
        <v>N/A</v>
      </c>
      <c r="DK20" s="111" t="str">
        <f ca="1">RESULTADOS!CO37</f>
        <v>N/A</v>
      </c>
      <c r="DL20" s="111" t="str">
        <f ca="1">RESULTADOS!CP37</f>
        <v>N/A</v>
      </c>
      <c r="DM20" s="111" t="str">
        <f ca="1">RESULTADOS!CQ37</f>
        <v>N/A</v>
      </c>
      <c r="DN20" s="111" t="str">
        <f ca="1">RESULTADOS!CR37</f>
        <v>N/A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46</v>
      </c>
      <c r="D21" s="112" t="str">
        <f>'01.Definición de ámbito'!D51</f>
        <v>No</v>
      </c>
      <c r="K21" t="s">
        <v>348</v>
      </c>
      <c r="L21" s="113">
        <f ca="1">RESULTADOS!L11</f>
        <v>1840</v>
      </c>
      <c r="M21" s="171">
        <f ca="1">RESULTADOS!M11</f>
        <v>1</v>
      </c>
      <c r="T21" s="113">
        <f>RESULTADOS!B38</f>
        <v>19</v>
      </c>
      <c r="U21" s="113" t="str">
        <f>RESULTADOS!C38</f>
        <v>Mapa Web</v>
      </c>
      <c r="V21" s="113" t="str">
        <f t="shared" si="0"/>
        <v>Página web</v>
      </c>
      <c r="W21" s="113" t="str">
        <v>Mapa web</v>
      </c>
      <c r="X21" s="113" t="str">
        <f>RESULTADOS!D38</f>
        <v>https://elecciones.comunidad.madrid/es/sitemap</v>
      </c>
      <c r="Y21" s="113" t="str">
        <v>Home &gt; Mapa Web</v>
      </c>
      <c r="Z21" s="188" t="str">
        <v>Enlaces</v>
      </c>
      <c r="AA21" s="111" t="str">
        <f ca="1">RESULTADOS!E38</f>
        <v>N/A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Pasa</v>
      </c>
      <c r="BG21" s="111" t="str">
        <f ca="1">RESULTADOS!AK38</f>
        <v>N/A</v>
      </c>
      <c r="BH21" s="111" t="str">
        <f ca="1">RESULTADOS!AL38</f>
        <v>N/A</v>
      </c>
      <c r="BI21" s="111" t="str">
        <f ca="1">RESULTADOS!AM38</f>
        <v>N/A</v>
      </c>
      <c r="BJ21" s="111" t="str">
        <f ca="1">RESULTADOS!AN38</f>
        <v>N/A</v>
      </c>
      <c r="BK21" s="111" t="str">
        <f ca="1">RESULTADOS!AO38</f>
        <v>Falla</v>
      </c>
      <c r="BL21" s="111" t="str">
        <f ca="1">RESULTADOS!AP38</f>
        <v>Falla</v>
      </c>
      <c r="BM21" s="111" t="str">
        <f ca="1">RESULTADOS!AQ38</f>
        <v>Falla</v>
      </c>
      <c r="BN21" s="111" t="str">
        <f ca="1">RESULTADOS!AR38</f>
        <v>Falla</v>
      </c>
      <c r="BO21" s="111" t="str">
        <f ca="1">RESULTADOS!AS38</f>
        <v>N/A</v>
      </c>
      <c r="BP21" s="111" t="str">
        <f ca="1">RESULTADOS!AT38</f>
        <v>Pasa</v>
      </c>
      <c r="BQ21" s="111" t="str">
        <f ca="1">RESULTADOS!AU38</f>
        <v>N/A</v>
      </c>
      <c r="BR21" s="111" t="str">
        <f ca="1">RESULTADOS!AV38</f>
        <v>Pasa</v>
      </c>
      <c r="BS21" s="111" t="str">
        <f ca="1">RESULTADOS!AW38</f>
        <v>Falla</v>
      </c>
      <c r="BT21" s="111" t="str">
        <f ca="1">RESULTADOS!AX38</f>
        <v>N/A</v>
      </c>
      <c r="BU21" s="111" t="str">
        <f ca="1">RESULTADOS!AY38</f>
        <v>Falla</v>
      </c>
      <c r="BV21" s="111" t="str">
        <f ca="1">RESULTADOS!AZ38</f>
        <v>Falla</v>
      </c>
      <c r="BW21" s="111" t="str">
        <f ca="1">RESULTADOS!BA38</f>
        <v>Pasa</v>
      </c>
      <c r="BX21" s="111" t="str">
        <f ca="1">RESULTADOS!BB38</f>
        <v>Falla</v>
      </c>
      <c r="BY21" s="111" t="str">
        <f ca="1">RESULTADOS!BC38</f>
        <v>Falla</v>
      </c>
      <c r="BZ21" s="111" t="str">
        <f ca="1">RESULTADOS!BD38</f>
        <v>Pasa</v>
      </c>
      <c r="CA21" s="111" t="str">
        <f ca="1">RESULTADOS!BE38</f>
        <v>N/A</v>
      </c>
      <c r="CB21" s="111" t="str">
        <f ca="1">RESULTADOS!BF38</f>
        <v>Pasa</v>
      </c>
      <c r="CC21" s="111" t="str">
        <f ca="1">RESULTADOS!BG38</f>
        <v>N/A</v>
      </c>
      <c r="CD21" s="111" t="str">
        <f ca="1">RESULTADOS!BH38</f>
        <v>N/A</v>
      </c>
      <c r="CE21" s="111" t="str">
        <f ca="1">RESULTADOS!BI38</f>
        <v>Pasa</v>
      </c>
      <c r="CF21" s="111" t="str">
        <f ca="1">RESULTADOS!BJ38</f>
        <v>Pasa</v>
      </c>
      <c r="CG21" s="111" t="str">
        <f ca="1">RESULTADOS!BK38</f>
        <v>Falla</v>
      </c>
      <c r="CH21" s="111" t="str">
        <f ca="1">RESULTADOS!BL38</f>
        <v>Falla</v>
      </c>
      <c r="CI21" s="111" t="str">
        <f ca="1">RESULTADOS!BM38</f>
        <v>Pasa</v>
      </c>
      <c r="CJ21" s="111" t="str">
        <f ca="1">RESULTADOS!BN38</f>
        <v>Pasa</v>
      </c>
      <c r="CK21" s="111" t="str">
        <f ca="1">RESULTADOS!BO38</f>
        <v>Falla</v>
      </c>
      <c r="CL21" s="111" t="str">
        <f ca="1">RESULTADOS!BP38</f>
        <v>N/A</v>
      </c>
      <c r="CM21" s="111" t="str">
        <f ca="1">RESULTADOS!BQ38</f>
        <v>Pasa</v>
      </c>
      <c r="CN21" s="111" t="str">
        <f ca="1">RESULTADOS!BR38</f>
        <v>Falla</v>
      </c>
      <c r="CO21" s="111" t="str">
        <f ca="1">RESULTADOS!BS38</f>
        <v>N/A</v>
      </c>
      <c r="CP21" s="111" t="str">
        <f ca="1">RESULTADOS!BT38</f>
        <v>Pasa</v>
      </c>
      <c r="CQ21" s="111" t="str">
        <f ca="1">RESULTADOS!BU38</f>
        <v>N/A</v>
      </c>
      <c r="CR21" s="111" t="str">
        <f ca="1">RESULTADOS!BV38</f>
        <v>Pasa</v>
      </c>
      <c r="CS21" s="111" t="str">
        <f ca="1">RESULTADOS!BW38</f>
        <v>Pasa</v>
      </c>
      <c r="CT21" s="111" t="str">
        <f ca="1">RESULTADOS!BX38</f>
        <v>Pasa</v>
      </c>
      <c r="CU21" s="111" t="str">
        <f ca="1">RESULTADOS!BY38</f>
        <v>Pasa</v>
      </c>
      <c r="CV21" s="111" t="str">
        <f ca="1">RESULTADOS!BZ38</f>
        <v>N/A</v>
      </c>
      <c r="CW21" s="111" t="str">
        <f ca="1">RESULTADOS!CA38</f>
        <v>Pasa</v>
      </c>
      <c r="CX21" s="111" t="str">
        <f ca="1">RESULTADOS!CB38</f>
        <v>N/A</v>
      </c>
      <c r="CY21" s="111" t="str">
        <f ca="1">RESULTADOS!CC38</f>
        <v>N/A</v>
      </c>
      <c r="CZ21" s="111" t="str">
        <f ca="1">RESULTADOS!CD38</f>
        <v>N/A</v>
      </c>
      <c r="DA21" s="111" t="str">
        <f ca="1">RESULTADOS!CE38</f>
        <v>Pasa</v>
      </c>
      <c r="DB21" s="111" t="str">
        <f ca="1">RESULTADOS!CF38</f>
        <v>N/A</v>
      </c>
      <c r="DC21" s="111" t="str">
        <f ca="1">RESULTADOS!CG38</f>
        <v>Falla</v>
      </c>
      <c r="DD21" s="111" t="str">
        <f ca="1">RESULTADOS!CH38</f>
        <v>Falla</v>
      </c>
      <c r="DE21" s="111" t="str">
        <f ca="1">RESULTADOS!CI38</f>
        <v>N/A</v>
      </c>
      <c r="DF21" s="111" t="str">
        <f ca="1">RESULTADOS!CJ38</f>
        <v>N/A</v>
      </c>
      <c r="DG21" s="111" t="str">
        <f ca="1">RESULTADOS!CK38</f>
        <v>N/A</v>
      </c>
      <c r="DH21" s="111" t="str">
        <f ca="1">RESULTADOS!CL38</f>
        <v>N/A</v>
      </c>
      <c r="DI21" s="111" t="str">
        <f ca="1">RESULTADOS!CM38</f>
        <v>N/A</v>
      </c>
      <c r="DJ21" s="111" t="str">
        <f ca="1">RESULTADOS!CN38</f>
        <v>N/A</v>
      </c>
      <c r="DK21" s="111" t="str">
        <f ca="1">RESULTADOS!CO38</f>
        <v>N/A</v>
      </c>
      <c r="DL21" s="111" t="str">
        <f ca="1">RESULTADOS!CP38</f>
        <v>N/A</v>
      </c>
      <c r="DM21" s="111" t="str">
        <f ca="1">RESULTADOS!CQ38</f>
        <v>N/A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47</v>
      </c>
      <c r="D22" s="112" t="str">
        <f>'01.Definición de ámbito'!D52</f>
        <v>No</v>
      </c>
      <c r="T22" s="113">
        <f>RESULTADOS!B39</f>
        <v>20</v>
      </c>
      <c r="U22" s="113" t="str">
        <f>RESULTADOS!C39</f>
        <v>Declaracion Accesibilidad</v>
      </c>
      <c r="V22" s="113" t="str">
        <f t="shared" si="0"/>
        <v>Página web</v>
      </c>
      <c r="W22" s="113" t="str">
        <v>Declaración accesibilidad</v>
      </c>
      <c r="X22" s="113" t="str">
        <f>RESULTADOS!D39</f>
        <v>https://elecciones.comunidad.madrid/es/accesibilidad</v>
      </c>
      <c r="Y22" s="113" t="str">
        <v>Home &gt; Accesibilidad</v>
      </c>
      <c r="Z22" s="188" t="str">
        <v>Texto</v>
      </c>
      <c r="AA22" s="111" t="str">
        <f ca="1">RESULTADOS!E39</f>
        <v>Falla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Pasa</v>
      </c>
      <c r="BG22" s="111" t="str">
        <f ca="1">RESULTADOS!AK39</f>
        <v>N/A</v>
      </c>
      <c r="BH22" s="111" t="str">
        <f ca="1">RESULTADOS!AL39</f>
        <v>N/A</v>
      </c>
      <c r="BI22" s="111" t="str">
        <f ca="1">RESULTADOS!AM39</f>
        <v>N/A</v>
      </c>
      <c r="BJ22" s="111" t="str">
        <f ca="1">RESULTADOS!AN39</f>
        <v>N/A</v>
      </c>
      <c r="BK22" s="111" t="str">
        <f ca="1">RESULTADOS!AO39</f>
        <v>Falla</v>
      </c>
      <c r="BL22" s="111" t="str">
        <f ca="1">RESULTADOS!AP39</f>
        <v>Falla</v>
      </c>
      <c r="BM22" s="111" t="str">
        <f ca="1">RESULTADOS!AQ39</f>
        <v>Falla</v>
      </c>
      <c r="BN22" s="111" t="str">
        <f ca="1">RESULTADOS!AR39</f>
        <v>Falla</v>
      </c>
      <c r="BO22" s="111" t="str">
        <f ca="1">RESULTADOS!AS39</f>
        <v>N/A</v>
      </c>
      <c r="BP22" s="111" t="str">
        <f ca="1">RESULTADOS!AT39</f>
        <v>Pasa</v>
      </c>
      <c r="BQ22" s="111" t="str">
        <f ca="1">RESULTADOS!AU39</f>
        <v>N/A</v>
      </c>
      <c r="BR22" s="111" t="str">
        <f ca="1">RESULTADOS!AV39</f>
        <v>Pasa</v>
      </c>
      <c r="BS22" s="111" t="str">
        <f ca="1">RESULTADOS!AW39</f>
        <v>Falla</v>
      </c>
      <c r="BT22" s="111" t="str">
        <f ca="1">RESULTADOS!AX39</f>
        <v>N/A</v>
      </c>
      <c r="BU22" s="111" t="str">
        <f ca="1">RESULTADOS!AY39</f>
        <v>Falla</v>
      </c>
      <c r="BV22" s="111" t="str">
        <f ca="1">RESULTADOS!AZ39</f>
        <v>Falla</v>
      </c>
      <c r="BW22" s="111" t="str">
        <f ca="1">RESULTADOS!BA39</f>
        <v>Pasa</v>
      </c>
      <c r="BX22" s="111" t="str">
        <f ca="1">RESULTADOS!BB39</f>
        <v>Falla</v>
      </c>
      <c r="BY22" s="111" t="str">
        <f ca="1">RESULTADOS!BC39</f>
        <v>Falla</v>
      </c>
      <c r="BZ22" s="111" t="str">
        <f ca="1">RESULTADOS!BD39</f>
        <v>Pasa</v>
      </c>
      <c r="CA22" s="111" t="str">
        <f ca="1">RESULTADOS!BE39</f>
        <v>N/A</v>
      </c>
      <c r="CB22" s="111" t="str">
        <f ca="1">RESULTADOS!BF39</f>
        <v>Pasa</v>
      </c>
      <c r="CC22" s="111" t="str">
        <f ca="1">RESULTADOS!BG39</f>
        <v>N/A</v>
      </c>
      <c r="CD22" s="111" t="str">
        <f ca="1">RESULTADOS!BH39</f>
        <v>N/A</v>
      </c>
      <c r="CE22" s="111" t="str">
        <f ca="1">RESULTADOS!BI39</f>
        <v>Pasa</v>
      </c>
      <c r="CF22" s="111" t="str">
        <f ca="1">RESULTADOS!BJ39</f>
        <v>Pasa</v>
      </c>
      <c r="CG22" s="111" t="str">
        <f ca="1">RESULTADOS!BK39</f>
        <v>Falla</v>
      </c>
      <c r="CH22" s="111" t="str">
        <f ca="1">RESULTADOS!BL39</f>
        <v>Falla</v>
      </c>
      <c r="CI22" s="111" t="str">
        <f ca="1">RESULTADOS!BM39</f>
        <v>Pasa</v>
      </c>
      <c r="CJ22" s="111" t="str">
        <f ca="1">RESULTADOS!BN39</f>
        <v>Pasa</v>
      </c>
      <c r="CK22" s="111" t="str">
        <f ca="1">RESULTADOS!BO39</f>
        <v>Falla</v>
      </c>
      <c r="CL22" s="111" t="str">
        <f ca="1">RESULTADOS!BP39</f>
        <v>N/A</v>
      </c>
      <c r="CM22" s="111" t="str">
        <f ca="1">RESULTADOS!BQ39</f>
        <v>Pasa</v>
      </c>
      <c r="CN22" s="111" t="str">
        <f ca="1">RESULTADOS!BR39</f>
        <v>Falla</v>
      </c>
      <c r="CO22" s="111" t="str">
        <f ca="1">RESULTADOS!BS39</f>
        <v>N/A</v>
      </c>
      <c r="CP22" s="111" t="str">
        <f ca="1">RESULTADOS!BT39</f>
        <v>Pasa</v>
      </c>
      <c r="CQ22" s="111" t="str">
        <f ca="1">RESULTADOS!BU39</f>
        <v>N/A</v>
      </c>
      <c r="CR22" s="111" t="str">
        <f ca="1">RESULTADOS!BV39</f>
        <v>Pasa</v>
      </c>
      <c r="CS22" s="111" t="str">
        <f ca="1">RESULTADOS!BW39</f>
        <v>Pasa</v>
      </c>
      <c r="CT22" s="111" t="str">
        <f ca="1">RESULTADOS!BX39</f>
        <v>Pasa</v>
      </c>
      <c r="CU22" s="111" t="str">
        <f ca="1">RESULTADOS!BY39</f>
        <v>Pasa</v>
      </c>
      <c r="CV22" s="111" t="str">
        <f ca="1">RESULTADOS!BZ39</f>
        <v>N/A</v>
      </c>
      <c r="CW22" s="111" t="str">
        <f ca="1">RESULTADOS!CA39</f>
        <v>Pasa</v>
      </c>
      <c r="CX22" s="111" t="str">
        <f ca="1">RESULTADOS!CB39</f>
        <v>N/A</v>
      </c>
      <c r="CY22" s="111" t="str">
        <f ca="1">RESULTADOS!CC39</f>
        <v>N/A</v>
      </c>
      <c r="CZ22" s="111" t="str">
        <f ca="1">RESULTADOS!CD39</f>
        <v>N/A</v>
      </c>
      <c r="DA22" s="111" t="str">
        <f ca="1">RESULTADOS!CE39</f>
        <v>Pasa</v>
      </c>
      <c r="DB22" s="111" t="str">
        <f ca="1">RESULTADOS!CF39</f>
        <v>N/A</v>
      </c>
      <c r="DC22" s="111" t="str">
        <f ca="1">RESULTADOS!CG39</f>
        <v>Falla</v>
      </c>
      <c r="DD22" s="111" t="str">
        <f ca="1">RESULTADOS!CH39</f>
        <v>Falla</v>
      </c>
      <c r="DE22" s="111" t="str">
        <f ca="1">RESULTADOS!CI39</f>
        <v>N/A</v>
      </c>
      <c r="DF22" s="111" t="str">
        <f ca="1">RESULTADOS!CJ39</f>
        <v>N/A</v>
      </c>
      <c r="DG22" s="111" t="str">
        <f ca="1">RESULTADOS!CK39</f>
        <v>N/A</v>
      </c>
      <c r="DH22" s="111" t="str">
        <f ca="1">RESULTADOS!CL39</f>
        <v>N/A</v>
      </c>
      <c r="DI22" s="111" t="str">
        <f ca="1">RESULTADOS!CM39</f>
        <v>N/A</v>
      </c>
      <c r="DJ22" s="111" t="str">
        <f ca="1">RESULTADOS!CN39</f>
        <v>Falla</v>
      </c>
      <c r="DK22" s="111" t="str">
        <f ca="1">RESULTADOS!CO39</f>
        <v>Falla</v>
      </c>
      <c r="DL22" s="111" t="str">
        <f ca="1">RESULTADOS!CP39</f>
        <v>Falla</v>
      </c>
      <c r="DM22" s="111" t="str">
        <f ca="1">RESULTADOS!CQ39</f>
        <v>Pasa</v>
      </c>
      <c r="DN22" s="111" t="str">
        <f ca="1">RESULTADOS!CR39</f>
        <v>Falla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48</v>
      </c>
      <c r="D23" s="112" t="str">
        <f>'01.Definición de ámbito'!D53</f>
        <v>No</v>
      </c>
      <c r="K23" t="s">
        <v>548</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49</v>
      </c>
      <c r="D24" s="112" t="str">
        <f>'01.Definición de ámbito'!D54</f>
        <v>No</v>
      </c>
      <c r="K24" t="s">
        <v>175</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50</v>
      </c>
      <c r="D25" s="112" t="str">
        <f>'01.Definición de ámbito'!D55</f>
        <v>No</v>
      </c>
      <c r="K25" t="s">
        <v>177</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51</v>
      </c>
      <c r="D26" s="112" t="str">
        <f>'01.Definición de ámbito'!D56</f>
        <v>No</v>
      </c>
      <c r="K26" t="s">
        <v>348</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549</v>
      </c>
      <c r="L28" s="114" t="str">
        <f ca="1">RESULTADOS!D14</f>
        <v>No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52</v>
      </c>
      <c r="D29" s="112" t="str">
        <f>'01.Definición de ámbito'!C58</f>
        <v>Autoevaluación con recursos externos</v>
      </c>
      <c r="K29" t="s">
        <v>550</v>
      </c>
      <c r="L29" s="115">
        <f ca="1">RESULTADOS!F14</f>
        <v>4.4000000000000004</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54</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56</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18" zoomScale="85" zoomScaleNormal="85" workbookViewId="0">
      <selection activeCell="C35" sqref="C35"/>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22</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23</v>
      </c>
      <c r="C27" s="61" t="s">
        <v>24</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25</v>
      </c>
      <c r="C29" s="61" t="s">
        <v>26</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27</v>
      </c>
      <c r="C31" s="61" t="s">
        <v>28</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29</v>
      </c>
      <c r="C33" s="61" t="s">
        <v>30</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31</v>
      </c>
      <c r="C35" s="210">
        <v>45901</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32</v>
      </c>
      <c r="C39" s="144" t="s">
        <v>33</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34</v>
      </c>
      <c r="C41" s="64" t="s">
        <v>35</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36</v>
      </c>
      <c r="C45" s="61" t="s">
        <v>37</v>
      </c>
      <c r="D45" s="36" t="s">
        <v>38</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39</v>
      </c>
      <c r="C47" s="117" t="s">
        <v>40</v>
      </c>
      <c r="D47" s="116" t="s">
        <v>41</v>
      </c>
      <c r="M47" s="18"/>
      <c r="N47" s="18"/>
      <c r="O47" s="18"/>
      <c r="Q47" s="18"/>
      <c r="R47" s="18"/>
      <c r="S47" s="18"/>
      <c r="U47" s="18"/>
      <c r="V47" s="18"/>
      <c r="W47" s="18"/>
      <c r="X47" s="18"/>
      <c r="Y47" s="18"/>
      <c r="Z47" s="18"/>
    </row>
    <row r="48" spans="2:26" ht="14.85" customHeight="1">
      <c r="C48" s="27" t="s">
        <v>42</v>
      </c>
      <c r="D48" s="19" t="s">
        <v>43</v>
      </c>
      <c r="G48" s="62"/>
    </row>
    <row r="49" spans="2:26" ht="14.85" customHeight="1">
      <c r="C49" s="27" t="s">
        <v>44</v>
      </c>
      <c r="D49" s="19" t="s">
        <v>43</v>
      </c>
      <c r="G49" s="62"/>
    </row>
    <row r="50" spans="2:26" ht="14.85" customHeight="1">
      <c r="C50" s="27" t="s">
        <v>45</v>
      </c>
      <c r="D50" s="19" t="s">
        <v>43</v>
      </c>
      <c r="G50" s="62"/>
    </row>
    <row r="51" spans="2:26" ht="14.85" customHeight="1">
      <c r="C51" s="27" t="s">
        <v>46</v>
      </c>
      <c r="D51" s="19" t="s">
        <v>43</v>
      </c>
      <c r="G51" s="62"/>
    </row>
    <row r="52" spans="2:26" ht="14.85" customHeight="1">
      <c r="C52" s="27" t="s">
        <v>47</v>
      </c>
      <c r="D52" s="19" t="s">
        <v>43</v>
      </c>
      <c r="G52" s="62"/>
    </row>
    <row r="53" spans="2:26" ht="14.85" customHeight="1">
      <c r="C53" s="27" t="s">
        <v>48</v>
      </c>
      <c r="D53" s="19" t="s">
        <v>43</v>
      </c>
      <c r="G53" s="62"/>
    </row>
    <row r="54" spans="2:26" ht="14.85" customHeight="1">
      <c r="C54" s="27" t="s">
        <v>49</v>
      </c>
      <c r="D54" s="19" t="s">
        <v>43</v>
      </c>
      <c r="G54" s="62"/>
    </row>
    <row r="55" spans="2:26" ht="14.85" customHeight="1">
      <c r="C55" s="27" t="s">
        <v>50</v>
      </c>
      <c r="D55" s="19" t="s">
        <v>43</v>
      </c>
      <c r="G55" s="62"/>
    </row>
    <row r="56" spans="2:26" ht="14.85" customHeight="1">
      <c r="C56" s="27" t="s">
        <v>51</v>
      </c>
      <c r="D56" s="19" t="s">
        <v>43</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52</v>
      </c>
      <c r="C58" s="61" t="s">
        <v>53</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54</v>
      </c>
      <c r="C60" s="61" t="s">
        <v>55</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56</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I18" sqref="I18"/>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57</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58</v>
      </c>
      <c r="C6" s="217"/>
      <c r="D6" s="217"/>
      <c r="E6" s="217"/>
      <c r="F6" s="217"/>
      <c r="G6" s="217"/>
      <c r="H6" s="217"/>
      <c r="I6" s="217"/>
      <c r="J6" s="217"/>
      <c r="K6" s="217"/>
      <c r="L6" s="217"/>
    </row>
    <row r="7" spans="1:60" ht="33.15" customHeight="1" thickTop="1">
      <c r="B7" s="218" t="s">
        <v>59</v>
      </c>
      <c r="C7" s="218"/>
      <c r="D7" s="218"/>
      <c r="E7" s="218"/>
      <c r="F7" s="218"/>
      <c r="G7" s="218"/>
      <c r="H7" s="218"/>
      <c r="I7" s="218"/>
      <c r="J7" s="218"/>
      <c r="K7" s="218"/>
      <c r="L7" s="218"/>
    </row>
    <row r="8" spans="1:60" ht="21.6" customHeight="1"/>
    <row r="9" spans="1:60" ht="17.100000000000001" customHeight="1">
      <c r="B9" s="156" t="s">
        <v>60</v>
      </c>
      <c r="C9" s="157" t="s">
        <v>61</v>
      </c>
      <c r="E9" s="156" t="s">
        <v>62</v>
      </c>
      <c r="F9" s="157" t="s">
        <v>43</v>
      </c>
      <c r="H9" s="156" t="s">
        <v>63</v>
      </c>
      <c r="I9" s="157" t="s">
        <v>43</v>
      </c>
    </row>
    <row r="10" spans="1:60" ht="17.100000000000001" customHeight="1">
      <c r="B10" s="156" t="s">
        <v>64</v>
      </c>
      <c r="C10" s="157" t="s">
        <v>43</v>
      </c>
      <c r="E10" s="156" t="s">
        <v>65</v>
      </c>
      <c r="F10" s="157" t="s">
        <v>43</v>
      </c>
      <c r="H10" s="156" t="s">
        <v>66</v>
      </c>
      <c r="I10" s="157" t="s">
        <v>43</v>
      </c>
    </row>
    <row r="11" spans="1:60" ht="17.100000000000001" customHeight="1">
      <c r="B11" s="156" t="s">
        <v>67</v>
      </c>
      <c r="C11" s="157" t="s">
        <v>43</v>
      </c>
      <c r="E11" s="156" t="s">
        <v>68</v>
      </c>
      <c r="F11" s="157" t="s">
        <v>43</v>
      </c>
      <c r="H11" s="156" t="s">
        <v>69</v>
      </c>
      <c r="I11" s="157" t="s">
        <v>43</v>
      </c>
    </row>
    <row r="12" spans="1:60" ht="17.100000000000001" customHeight="1">
      <c r="B12" s="156" t="s">
        <v>70</v>
      </c>
      <c r="C12" s="157" t="s">
        <v>61</v>
      </c>
      <c r="E12" s="156" t="s">
        <v>71</v>
      </c>
      <c r="F12" s="157" t="s">
        <v>43</v>
      </c>
      <c r="H12" s="156" t="s">
        <v>72</v>
      </c>
      <c r="I12" s="157" t="s">
        <v>61</v>
      </c>
      <c r="K12" s="158" t="s">
        <v>73</v>
      </c>
      <c r="L12" s="158" t="s">
        <v>74</v>
      </c>
    </row>
    <row r="13" spans="1:60" ht="17.100000000000001" customHeight="1">
      <c r="B13" s="156" t="s">
        <v>75</v>
      </c>
      <c r="C13" s="157" t="s">
        <v>61</v>
      </c>
      <c r="E13" s="156" t="s">
        <v>76</v>
      </c>
      <c r="F13" s="157" t="s">
        <v>43</v>
      </c>
      <c r="K13" s="159" t="s">
        <v>77</v>
      </c>
      <c r="L13" s="159" t="s">
        <v>78</v>
      </c>
    </row>
    <row r="14" spans="1:60" ht="17.100000000000001" customHeight="1">
      <c r="K14" s="159"/>
      <c r="L14" s="159"/>
    </row>
    <row r="15" spans="1:60" ht="17.100000000000001" customHeight="1">
      <c r="K15" s="159"/>
      <c r="L15" s="159"/>
    </row>
    <row r="16" spans="1:60" ht="17.100000000000001" customHeight="1">
      <c r="K16" s="159"/>
      <c r="L16" s="159"/>
    </row>
    <row r="17" spans="3:12">
      <c r="C17" s="219" t="s">
        <v>79</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80" zoomScaleNormal="80" workbookViewId="0">
      <selection activeCell="F18" sqref="F18"/>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8" t="s">
        <v>80</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81</v>
      </c>
      <c r="C7" s="104" t="s">
        <v>82</v>
      </c>
      <c r="D7" s="104" t="s">
        <v>83</v>
      </c>
      <c r="E7" s="104" t="s">
        <v>84</v>
      </c>
      <c r="F7" s="104" t="s">
        <v>85</v>
      </c>
      <c r="G7" s="104" t="s">
        <v>86</v>
      </c>
      <c r="H7" s="104" t="s">
        <v>87</v>
      </c>
      <c r="I7" s="18"/>
      <c r="J7" s="18"/>
      <c r="K7" s="18"/>
      <c r="L7" s="18"/>
      <c r="M7" s="18"/>
      <c r="N7" s="18"/>
      <c r="O7" s="18"/>
      <c r="P7" s="18"/>
      <c r="Q7" s="18"/>
      <c r="R7" s="18"/>
      <c r="S7" s="18"/>
      <c r="T7" s="18"/>
      <c r="U7" s="18"/>
      <c r="V7" s="18"/>
      <c r="W7" s="18"/>
      <c r="X7" s="18"/>
      <c r="Y7" s="18"/>
    </row>
    <row r="8" spans="1:64" ht="18.149999999999999" customHeight="1">
      <c r="B8" s="102">
        <v>1</v>
      </c>
      <c r="C8" s="103" t="s">
        <v>88</v>
      </c>
      <c r="D8" s="53" t="s">
        <v>89</v>
      </c>
      <c r="E8" s="53" t="s">
        <v>90</v>
      </c>
      <c r="F8" s="123" t="s">
        <v>91</v>
      </c>
      <c r="G8" s="53" t="s">
        <v>92</v>
      </c>
      <c r="H8" s="143" t="s">
        <v>93</v>
      </c>
      <c r="I8" s="18"/>
      <c r="J8" s="18"/>
      <c r="K8" s="18"/>
      <c r="L8" s="18"/>
      <c r="M8" s="18"/>
      <c r="N8" s="18"/>
      <c r="O8" s="18"/>
      <c r="P8" s="18"/>
      <c r="Q8" s="18"/>
      <c r="R8" s="18"/>
      <c r="S8" s="18"/>
      <c r="T8" s="18"/>
      <c r="U8" s="18"/>
      <c r="V8" s="18"/>
      <c r="W8" s="18"/>
      <c r="X8" s="18"/>
      <c r="Y8" s="18"/>
    </row>
    <row r="9" spans="1:64" ht="18.149999999999999" customHeight="1">
      <c r="B9" s="51">
        <v>2</v>
      </c>
      <c r="C9" s="52" t="s">
        <v>94</v>
      </c>
      <c r="D9" s="53" t="s">
        <v>89</v>
      </c>
      <c r="E9" s="53" t="s">
        <v>124</v>
      </c>
      <c r="F9" s="123" t="s">
        <v>95</v>
      </c>
      <c r="G9" s="53" t="s">
        <v>96</v>
      </c>
      <c r="H9" s="101" t="s">
        <v>97</v>
      </c>
      <c r="I9" s="18"/>
      <c r="J9" s="18"/>
      <c r="K9" s="18"/>
      <c r="L9" s="18"/>
      <c r="M9" s="18"/>
      <c r="N9" s="18"/>
      <c r="O9" s="18"/>
      <c r="P9" s="18"/>
      <c r="Q9" s="18"/>
      <c r="R9" s="18"/>
      <c r="S9" s="18"/>
      <c r="T9" s="18"/>
      <c r="U9" s="18"/>
      <c r="V9" s="18"/>
      <c r="W9" s="18"/>
      <c r="X9" s="18"/>
      <c r="Y9" s="18"/>
    </row>
    <row r="10" spans="1:64" ht="18.149999999999999" customHeight="1">
      <c r="B10" s="51">
        <v>3</v>
      </c>
      <c r="C10" s="52" t="s">
        <v>98</v>
      </c>
      <c r="D10" s="53" t="s">
        <v>89</v>
      </c>
      <c r="E10" s="53" t="s">
        <v>124</v>
      </c>
      <c r="F10" s="123" t="s">
        <v>99</v>
      </c>
      <c r="G10" s="53" t="s">
        <v>100</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101</v>
      </c>
      <c r="D11" s="53" t="s">
        <v>89</v>
      </c>
      <c r="E11" s="53" t="s">
        <v>516</v>
      </c>
      <c r="F11" s="123" t="s">
        <v>102</v>
      </c>
      <c r="G11" s="53" t="s">
        <v>103</v>
      </c>
      <c r="H11" s="101" t="s">
        <v>38</v>
      </c>
      <c r="I11" s="18"/>
      <c r="J11" s="18"/>
      <c r="K11" s="18"/>
      <c r="L11" s="18"/>
      <c r="M11" s="18"/>
      <c r="N11" s="18"/>
      <c r="O11" s="18"/>
      <c r="P11" s="18"/>
      <c r="Q11" s="18"/>
      <c r="R11" s="18"/>
      <c r="S11" s="18"/>
      <c r="T11" s="18"/>
      <c r="U11" s="18"/>
      <c r="V11" s="18"/>
      <c r="W11" s="18"/>
      <c r="X11" s="18"/>
      <c r="Y11" s="18"/>
    </row>
    <row r="12" spans="1:64" ht="18.149999999999999" customHeight="1">
      <c r="B12" s="51">
        <v>5</v>
      </c>
      <c r="C12" s="52" t="s">
        <v>104</v>
      </c>
      <c r="D12" s="53" t="s">
        <v>89</v>
      </c>
      <c r="E12" s="53" t="s">
        <v>114</v>
      </c>
      <c r="F12" s="123" t="s">
        <v>105</v>
      </c>
      <c r="G12" s="53" t="s">
        <v>106</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107</v>
      </c>
      <c r="D13" s="53" t="s">
        <v>89</v>
      </c>
      <c r="E13" s="53" t="s">
        <v>124</v>
      </c>
      <c r="F13" s="123" t="s">
        <v>108</v>
      </c>
      <c r="G13" s="53" t="s">
        <v>109</v>
      </c>
      <c r="H13" s="101"/>
      <c r="I13" s="18"/>
      <c r="J13" s="18"/>
      <c r="K13" s="18"/>
      <c r="L13" s="18"/>
      <c r="M13" s="18"/>
      <c r="N13" s="18"/>
      <c r="O13" s="18"/>
      <c r="P13" s="18"/>
      <c r="Q13" s="18"/>
      <c r="R13" s="18"/>
      <c r="S13" s="18"/>
      <c r="T13" s="18"/>
      <c r="V13" s="18"/>
      <c r="W13" s="18"/>
      <c r="X13" s="18"/>
      <c r="Y13" s="18"/>
    </row>
    <row r="14" spans="1:64" ht="18.149999999999999" customHeight="1">
      <c r="B14" s="51">
        <v>7</v>
      </c>
      <c r="C14" s="52" t="s">
        <v>110</v>
      </c>
      <c r="D14" s="53" t="s">
        <v>89</v>
      </c>
      <c r="E14" s="53" t="s">
        <v>124</v>
      </c>
      <c r="F14" s="123" t="s">
        <v>111</v>
      </c>
      <c r="G14" s="53" t="s">
        <v>112</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113</v>
      </c>
      <c r="D15" s="53" t="s">
        <v>89</v>
      </c>
      <c r="E15" s="53" t="s">
        <v>114</v>
      </c>
      <c r="F15" s="123" t="s">
        <v>115</v>
      </c>
      <c r="G15" s="53" t="s">
        <v>116</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117</v>
      </c>
      <c r="D16" s="53" t="s">
        <v>89</v>
      </c>
      <c r="E16" s="53" t="s">
        <v>124</v>
      </c>
      <c r="F16" s="123" t="s">
        <v>118</v>
      </c>
      <c r="G16" s="53" t="s">
        <v>119</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120</v>
      </c>
      <c r="D17" s="53" t="s">
        <v>89</v>
      </c>
      <c r="E17" s="53" t="s">
        <v>124</v>
      </c>
      <c r="F17" s="123" t="s">
        <v>121</v>
      </c>
      <c r="G17" s="53" t="s">
        <v>122</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123</v>
      </c>
      <c r="D18" s="53" t="s">
        <v>89</v>
      </c>
      <c r="E18" s="53" t="s">
        <v>124</v>
      </c>
      <c r="F18" s="123" t="s">
        <v>125</v>
      </c>
      <c r="G18" s="53" t="s">
        <v>126</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127</v>
      </c>
      <c r="D19" s="53" t="s">
        <v>89</v>
      </c>
      <c r="E19" s="53" t="s">
        <v>124</v>
      </c>
      <c r="F19" s="123" t="s">
        <v>128</v>
      </c>
      <c r="G19" s="53" t="s">
        <v>129</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130</v>
      </c>
      <c r="D20" s="53" t="s">
        <v>89</v>
      </c>
      <c r="E20" s="53" t="s">
        <v>124</v>
      </c>
      <c r="F20" s="123" t="s">
        <v>131</v>
      </c>
      <c r="G20" s="53" t="s">
        <v>132</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133</v>
      </c>
      <c r="D21" s="53" t="s">
        <v>89</v>
      </c>
      <c r="E21" s="53" t="s">
        <v>134</v>
      </c>
      <c r="F21" s="123" t="s">
        <v>135</v>
      </c>
      <c r="G21" s="53" t="s">
        <v>136</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137</v>
      </c>
      <c r="D22" s="53" t="s">
        <v>89</v>
      </c>
      <c r="E22" s="53" t="s">
        <v>124</v>
      </c>
      <c r="F22" s="123" t="s">
        <v>138</v>
      </c>
      <c r="G22" s="53" t="s">
        <v>139</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140</v>
      </c>
      <c r="D23" s="53" t="s">
        <v>89</v>
      </c>
      <c r="E23" s="53" t="s">
        <v>140</v>
      </c>
      <c r="F23" s="123" t="s">
        <v>141</v>
      </c>
      <c r="G23" s="53" t="s">
        <v>142</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143</v>
      </c>
      <c r="D24" s="53" t="s">
        <v>89</v>
      </c>
      <c r="E24" s="53" t="s">
        <v>144</v>
      </c>
      <c r="F24" s="123" t="s">
        <v>145</v>
      </c>
      <c r="G24" s="53" t="s">
        <v>146</v>
      </c>
      <c r="H24" s="101" t="s">
        <v>147</v>
      </c>
      <c r="I24" s="18"/>
      <c r="J24" s="18"/>
      <c r="K24" s="18"/>
      <c r="L24" s="18"/>
      <c r="M24" s="18"/>
      <c r="N24" s="18"/>
      <c r="O24" s="18"/>
      <c r="P24" s="18"/>
      <c r="Q24" s="18"/>
      <c r="R24" s="18"/>
      <c r="S24" s="18"/>
      <c r="T24" s="18"/>
      <c r="U24" s="18"/>
      <c r="V24" s="18"/>
      <c r="W24" s="18"/>
      <c r="X24" s="18"/>
      <c r="Y24" s="18"/>
    </row>
    <row r="25" spans="2:25" ht="18.149999999999999" customHeight="1">
      <c r="B25" s="51">
        <v>18</v>
      </c>
      <c r="C25" s="52" t="s">
        <v>148</v>
      </c>
      <c r="D25" s="53" t="s">
        <v>89</v>
      </c>
      <c r="E25" s="53" t="s">
        <v>149</v>
      </c>
      <c r="F25" s="123" t="s">
        <v>150</v>
      </c>
      <c r="G25" s="53" t="s">
        <v>151</v>
      </c>
      <c r="H25" s="101" t="s">
        <v>147</v>
      </c>
      <c r="I25" s="18"/>
      <c r="J25" s="18"/>
      <c r="K25" s="18"/>
      <c r="L25" s="18"/>
      <c r="M25" s="18"/>
      <c r="N25" s="18"/>
      <c r="O25" s="18"/>
      <c r="P25" s="18"/>
      <c r="Q25" s="18"/>
      <c r="R25" s="18"/>
      <c r="S25" s="18"/>
      <c r="T25" s="18"/>
      <c r="U25" s="18"/>
      <c r="V25" s="18"/>
      <c r="W25" s="18"/>
      <c r="X25" s="18"/>
      <c r="Y25" s="18"/>
    </row>
    <row r="26" spans="2:25" ht="18.149999999999999" customHeight="1">
      <c r="B26" s="51">
        <v>19</v>
      </c>
      <c r="C26" s="52" t="s">
        <v>152</v>
      </c>
      <c r="D26" s="53" t="s">
        <v>89</v>
      </c>
      <c r="E26" s="53" t="s">
        <v>153</v>
      </c>
      <c r="F26" s="123" t="s">
        <v>154</v>
      </c>
      <c r="G26" s="53" t="s">
        <v>155</v>
      </c>
      <c r="H26" s="101" t="s">
        <v>156</v>
      </c>
      <c r="I26" s="18"/>
      <c r="J26" s="18"/>
      <c r="K26" s="18"/>
      <c r="L26" s="18"/>
      <c r="M26" s="18"/>
      <c r="N26" s="18"/>
      <c r="O26" s="18"/>
      <c r="P26" s="18"/>
      <c r="Q26" s="18"/>
      <c r="R26" s="18"/>
      <c r="S26" s="18"/>
      <c r="T26" s="18"/>
      <c r="U26" s="18"/>
      <c r="V26" s="18"/>
      <c r="W26" s="18"/>
      <c r="X26" s="18"/>
      <c r="Y26" s="18"/>
    </row>
    <row r="27" spans="2:25" ht="18.149999999999999" customHeight="1">
      <c r="B27" s="51">
        <v>20</v>
      </c>
      <c r="C27" s="52" t="s">
        <v>157</v>
      </c>
      <c r="D27" s="53" t="s">
        <v>89</v>
      </c>
      <c r="E27" s="53" t="s">
        <v>158</v>
      </c>
      <c r="F27" s="123" t="s">
        <v>159</v>
      </c>
      <c r="G27" s="53" t="s">
        <v>160</v>
      </c>
      <c r="H27" s="101" t="s">
        <v>147</v>
      </c>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161</v>
      </c>
      <c r="C45" s="56"/>
      <c r="D45" s="57">
        <f>COUNTA(F8:F42)</f>
        <v>20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162</v>
      </c>
      <c r="C47" s="56"/>
      <c r="D47" s="57">
        <f>D45-D49</f>
        <v>18</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163</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164</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125" priority="3" operator="equal">
      <formula>"SI"</formula>
    </cfRule>
    <cfRule type="cellIs" dxfId="1124" priority="4" operator="equal">
      <formula>"NO"</formula>
    </cfRule>
  </conditionalFormatting>
  <conditionalFormatting sqref="E44">
    <cfRule type="expression" dxfId="1123"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0" zoomScale="80" zoomScaleNormal="80" workbookViewId="0">
      <selection activeCell="D38" sqref="D38"/>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165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166</v>
      </c>
      <c r="C8" s="18"/>
      <c r="D8" s="79"/>
      <c r="E8" s="79"/>
      <c r="F8" s="18"/>
      <c r="G8" s="18"/>
      <c r="H8" s="18"/>
      <c r="I8" s="18"/>
      <c r="J8" s="18"/>
      <c r="K8" s="18"/>
      <c r="L8" s="18"/>
      <c r="M8" s="18"/>
      <c r="N8" s="18"/>
      <c r="O8" s="18"/>
    </row>
    <row r="9" spans="1:64" ht="30" customHeight="1">
      <c r="B9" s="231" t="s">
        <v>167</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168</v>
      </c>
      <c r="C11" s="230"/>
      <c r="D11" s="26"/>
      <c r="E11" s="14"/>
      <c r="F11" s="196" t="s">
        <v>169</v>
      </c>
      <c r="G11" s="105" t="s">
        <v>170</v>
      </c>
      <c r="H11" s="197" t="s">
        <v>171</v>
      </c>
      <c r="I11" s="22"/>
      <c r="J11" s="196" t="s">
        <v>172</v>
      </c>
      <c r="K11" s="105" t="s">
        <v>170</v>
      </c>
      <c r="L11" s="197" t="s">
        <v>171</v>
      </c>
      <c r="M11" s="18"/>
      <c r="N11" s="18"/>
      <c r="O11" s="142"/>
      <c r="P11" s="18"/>
      <c r="Q11" s="18"/>
      <c r="R11" s="18"/>
      <c r="U11" s="18"/>
      <c r="V11" s="18"/>
      <c r="W11" s="18"/>
      <c r="X11" s="18"/>
      <c r="Y11" s="18"/>
    </row>
    <row r="12" spans="1:64" ht="12" customHeight="1">
      <c r="B12" s="108" t="s">
        <v>173</v>
      </c>
      <c r="C12" s="198">
        <f>COUNTIF($B$18:$B$3773,B12)</f>
        <v>3</v>
      </c>
      <c r="D12" s="26"/>
      <c r="E12" s="14"/>
      <c r="F12" s="199" t="s">
        <v>174</v>
      </c>
      <c r="G12" s="72">
        <f ca="1">J20+J58+J96</f>
        <v>0</v>
      </c>
      <c r="H12" s="42">
        <f ca="1">IF(($G$15+$K$15)=0,0,G12/($G$15+$K$15))</f>
        <v>0</v>
      </c>
      <c r="I12" s="26"/>
      <c r="J12" s="183" t="s">
        <v>175</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176</v>
      </c>
      <c r="G13" s="72">
        <f ca="1">I20+I58+I96</f>
        <v>14</v>
      </c>
      <c r="H13" s="42">
        <f ca="1">IF(($G$15+$K$15)=0,0,G13/($G$15+$K$15))</f>
        <v>0.23333333333333334</v>
      </c>
      <c r="I13" s="26"/>
      <c r="J13" s="183" t="s">
        <v>177</v>
      </c>
      <c r="K13" s="72">
        <f ca="1">F20+F58+F96</f>
        <v>0</v>
      </c>
      <c r="L13" s="42">
        <f ca="1">IF(($G$15+$K$15)=0,0,K13/($G$15+$K$15))</f>
        <v>0</v>
      </c>
      <c r="M13" s="18"/>
      <c r="N13" s="18"/>
      <c r="O13" s="18"/>
      <c r="P13" s="18"/>
      <c r="Q13" s="18"/>
      <c r="R13" s="18"/>
      <c r="U13" s="18"/>
      <c r="V13" s="18"/>
      <c r="W13" s="18"/>
      <c r="X13" s="18"/>
      <c r="Y13" s="18"/>
    </row>
    <row r="14" spans="1:64" ht="12" customHeight="1" thickBot="1">
      <c r="B14" s="200" t="s">
        <v>178</v>
      </c>
      <c r="C14" s="201">
        <f>C12+C13</f>
        <v>3</v>
      </c>
      <c r="D14" s="26"/>
      <c r="E14" s="14"/>
      <c r="F14" s="199" t="s">
        <v>179</v>
      </c>
      <c r="G14" s="72">
        <f ca="1">H20+H58+H96</f>
        <v>46</v>
      </c>
      <c r="H14" s="42">
        <f ca="1">IF(($G$15+$K$15)=0,0,G14/($G$15+$K$15))</f>
        <v>0.76666666666666672</v>
      </c>
      <c r="I14" s="26"/>
      <c r="J14" s="177" t="s">
        <v>180</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178</v>
      </c>
      <c r="G15" s="203">
        <f ca="1">SUM(G12:G14)</f>
        <v>60</v>
      </c>
      <c r="H15" s="204">
        <f ca="1">SUM(H12:H14)</f>
        <v>1</v>
      </c>
      <c r="I15" s="26"/>
      <c r="J15" s="200" t="s">
        <v>178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181</v>
      </c>
      <c r="B18" s="23" t="s">
        <v>173</v>
      </c>
      <c r="C18" s="24" t="s">
        <v>182</v>
      </c>
      <c r="D18" s="25" t="s">
        <v>183</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https://elecciones.comunidad.madrid/es</v>
      </c>
      <c r="D19" s="99" t="s">
        <v>184</v>
      </c>
      <c r="E19" s="79" t="str">
        <f t="shared" ref="E19:E53" si="0">IF(D19&lt;&gt;"",IF(AND(B19&lt;&gt;"",C19&lt;&gt;""),"","ERR"),"")</f>
        <v/>
      </c>
      <c r="F19" s="86" t="s">
        <v>185</v>
      </c>
      <c r="G19" s="87" t="s">
        <v>186</v>
      </c>
      <c r="H19" s="88" t="s">
        <v>184</v>
      </c>
      <c r="I19" s="89" t="s">
        <v>176</v>
      </c>
      <c r="J19" s="90" t="s">
        <v>174</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Resultado Elecciones 28M 2023</v>
      </c>
      <c r="C20" s="174" t="str" cm="1">
        <f t="array" ref="C20">IFERROR(INDEX('03.Muestra'!$F$8:$F$42,SMALL(IF("Página Web"='03.Muestra'!$D$8:$D$42,ROW('03.Muestra'!$F$8:$F$42)-MIN(ROW('03.Muestra'!$D$8:$D$42))+1,""),ROW()-18)),"")</f>
        <v>https://elecciones.comunidad.madrid/es/resultados-elecciones-asamblea-madrid-28m-2023</v>
      </c>
      <c r="D20" s="99" t="s">
        <v>176</v>
      </c>
      <c r="E20" s="79" t="str">
        <f t="shared" si="0"/>
        <v/>
      </c>
      <c r="F20" s="91">
        <f ca="1">COUNTIF($D19:INDIRECT("$D" &amp;  SUM(ROW()-1,'03.Muestra'!$D$45)-1),F19)</f>
        <v>0</v>
      </c>
      <c r="G20" s="91">
        <f ca="1">COUNTIF($D19:INDIRECT("$D" &amp;  SUM(ROW()-1,'03.Muestra'!$D$45)-1),G19)</f>
        <v>0</v>
      </c>
      <c r="H20" s="91">
        <f ca="1">COUNTIF($D19:INDIRECT("$D" &amp;  SUM(ROW()-1,'03.Muestra'!$D$45)-1),H19)</f>
        <v>6</v>
      </c>
      <c r="I20" s="91">
        <f ca="1">COUNTIF($D19:INDIRECT("$D" &amp;  SUM(ROW()-1,'03.Muestra'!$D$45)-1),I19)</f>
        <v>14</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Normativa electoral</v>
      </c>
      <c r="C21" s="174" t="str" cm="1">
        <f t="array" ref="C21">IFERROR(INDEX('03.Muestra'!$F$8:$F$42,SMALL(IF("Página Web"='03.Muestra'!$D$8:$D$42,ROW('03.Muestra'!$F$8:$F$42)-MIN(ROW('03.Muestra'!$D$8:$D$42))+1,""),ROW()-18)),"")</f>
        <v>https://elecciones.comunidad.madrid/es/informacion-electoral/normativa-electoral</v>
      </c>
      <c r="D21" s="99" t="s">
        <v>176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Calendario electoral</v>
      </c>
      <c r="C22" s="174" t="str" cm="1">
        <f t="array" ref="C22">IFERROR(INDEX('03.Muestra'!$F$8:$F$42,SMALL(IF("Página Web"='03.Muestra'!$D$8:$D$42,ROW('03.Muestra'!$F$8:$F$42)-MIN(ROW('03.Muestra'!$D$8:$D$42))+1,""),ROW()-18)),"")</f>
        <v>https://elecciones.comunidad.madrid/es/informacion-electoral/calendario-electoral</v>
      </c>
      <c r="D22" s="99" t="s">
        <v>176</v>
      </c>
      <c r="E22" s="79" t="str">
        <f t="shared" si="0"/>
        <v/>
      </c>
      <c r="F22" s="18"/>
      <c r="G22" s="18"/>
      <c r="H22" s="18"/>
      <c r="I22" s="18"/>
      <c r="K22" s="170" t="s">
        <v>185</v>
      </c>
      <c r="L22" s="92" t="s">
        <v>187</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Direcciones y teléfonos</v>
      </c>
      <c r="C23" s="174" t="str" cm="1">
        <f t="array" ref="C23">IFERROR(INDEX('03.Muestra'!$F$8:$F$42,SMALL(IF("Página Web"='03.Muestra'!$D$8:$D$42,ROW('03.Muestra'!$F$8:$F$42)-MIN(ROW('03.Muestra'!$D$8:$D$42))+1,""),ROW()-18)),"")</f>
        <v>https://elecciones.comunidad.madrid/es/juntas-electorales/direcciones-telefonos</v>
      </c>
      <c r="D23" s="99" t="s">
        <v>176</v>
      </c>
      <c r="E23" s="79" t="str">
        <f t="shared" si="0"/>
        <v/>
      </c>
      <c r="F23" s="78"/>
      <c r="G23" s="18"/>
      <c r="H23" s="18"/>
      <c r="I23" s="18"/>
      <c r="K23" s="88" t="s">
        <v>184</v>
      </c>
      <c r="L23" s="92" t="s">
        <v>188</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Impresos electrónicos</v>
      </c>
      <c r="C24" s="174" t="str" cm="1">
        <f t="array" ref="C24">IFERROR(INDEX('03.Muestra'!$F$8:$F$42,SMALL(IF("Página Web"='03.Muestra'!$D$8:$D$42,ROW('03.Muestra'!$F$8:$F$42)-MIN(ROW('03.Muestra'!$D$8:$D$42))+1,""),ROW()-18)),"")</f>
        <v>https://elecciones.comunidad.madrid/es/formaciones-politicas/impresos-electronicos</v>
      </c>
      <c r="D24" s="99" t="s">
        <v>176</v>
      </c>
      <c r="E24" s="79" t="str">
        <f t="shared" si="0"/>
        <v/>
      </c>
      <c r="F24" s="18"/>
      <c r="G24" s="18"/>
      <c r="H24" s="18"/>
      <c r="I24" s="18"/>
      <c r="K24" s="87" t="s">
        <v>186</v>
      </c>
      <c r="L24" s="92" t="s">
        <v>189</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Listado de candidaturas</v>
      </c>
      <c r="C25" s="174" t="str" cm="1">
        <f t="array" ref="C25">IFERROR(INDEX('03.Muestra'!$F$8:$F$42,SMALL(IF("Página Web"='03.Muestra'!$D$8:$D$42,ROW('03.Muestra'!$F$8:$F$42)-MIN(ROW('03.Muestra'!$D$8:$D$42))+1,""),ROW()-18)),"")</f>
        <v>https://elecciones.comunidad.madrid/es/formaciones-politicas/listado-candidaturas-proclamadas</v>
      </c>
      <c r="D25" s="99" t="s">
        <v>176</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Partido Feminista de España</v>
      </c>
      <c r="C26" s="174" t="str" cm="1">
        <f t="array" ref="C26">IFERROR(INDEX('03.Muestra'!$F$8:$F$42,SMALL(IF("Página Web"='03.Muestra'!$D$8:$D$42,ROW('03.Muestra'!$F$8:$F$42)-MIN(ROW('03.Muestra'!$D$8:$D$42))+1,""),ROW()-18)),"")</f>
        <v>https://elecciones.comunidad.madrid/es/formaciones-politicas/listado-candidaturas/partido-feminista-espana</v>
      </c>
      <c r="D26" s="99" t="s">
        <v>184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¿Dónde voto?</v>
      </c>
      <c r="C27" s="174" t="str" cm="1">
        <f t="array" ref="C27">IFERROR(INDEX('03.Muestra'!$F$8:$F$42,SMALL(IF("Página Web"='03.Muestra'!$D$8:$D$42,ROW('03.Muestra'!$F$8:$F$42)-MIN(ROW('03.Muestra'!$D$8:$D$42))+1,""),ROW()-18)),"")</f>
        <v>https://elecciones.comunidad.madrid/es/votar/donde-voto</v>
      </c>
      <c r="D27" s="99" t="s">
        <v>176</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Voto presencial</v>
      </c>
      <c r="C28" s="174" t="str" cm="1">
        <f t="array" ref="C28">IFERROR(INDEX('03.Muestra'!$F$8:$F$42,SMALL(IF("Página Web"='03.Muestra'!$D$8:$D$42,ROW('03.Muestra'!$F$8:$F$42)-MIN(ROW('03.Muestra'!$D$8:$D$42))+1,""),ROW()-18)),"")</f>
        <v>https://elecciones.comunidad.madrid/es/voto-local-electoral/voto-presencial</v>
      </c>
      <c r="D28" s="99" t="s">
        <v>176</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Ciudadanos temporalmente en el extranjero</v>
      </c>
      <c r="C29" s="174" t="str" cm="1">
        <f t="array" ref="C29">IFERROR(INDEX('03.Muestra'!$F$8:$F$42,SMALL(IF("Página Web"='03.Muestra'!$D$8:$D$42,ROW('03.Muestra'!$F$8:$F$42)-MIN(ROW('03.Muestra'!$D$8:$D$42))+1,""),ROW()-18)),"")</f>
        <v>https://elecciones.comunidad.madrid/es/voto-correo/solicitud-voto-temporalmente-ausentes</v>
      </c>
      <c r="D29" s="99" t="s">
        <v>176</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Nuevo votante</v>
      </c>
      <c r="C30" s="174" t="str" cm="1">
        <f t="array" ref="C30">IFERROR(INDEX('03.Muestra'!$F$8:$F$42,SMALL(IF("Página Web"='03.Muestra'!$D$8:$D$42,ROW('03.Muestra'!$F$8:$F$42)-MIN(ROW('03.Muestra'!$D$8:$D$42))+1,""),ROW()-18)),"")</f>
        <v>https://elecciones.comunidad.madrid/es/votar/nuevo-votante</v>
      </c>
      <c r="D30" s="99" t="s">
        <v>176</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Simulación método D'Hondt</v>
      </c>
      <c r="C31" s="174" t="str" cm="1">
        <f t="array" ref="C31">IFERROR(INDEX('03.Muestra'!$F$8:$F$42,SMALL(IF("Página Web"='03.Muestra'!$D$8:$D$42,ROW('03.Muestra'!$F$8:$F$42)-MIN(ROW('03.Muestra'!$D$8:$D$42))+1,""),ROW()-18)),"")</f>
        <v>https://elecciones.comunidad.madrid/es/informacion-util/simulacion-metodo-dhondt</v>
      </c>
      <c r="D31" s="99" t="s">
        <v>176</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Ley D'Hondt</v>
      </c>
      <c r="C32" s="174" t="str" cm="1">
        <f t="array" ref="C32">IFERROR(INDEX('03.Muestra'!$F$8:$F$42,SMALL(IF("Página Web"='03.Muestra'!$D$8:$D$42,ROW('03.Muestra'!$F$8:$F$42)-MIN(ROW('03.Muestra'!$D$8:$D$42))+1,""),ROW()-18)),"")</f>
        <v>https://elecciones.comunidad.madrid/es/resultados/ley_d_hondt</v>
      </c>
      <c r="D32" s="99" t="s">
        <v>184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Voto por correo elector CERA en España</v>
      </c>
      <c r="C33" s="174" t="str" cm="1">
        <f t="array" ref="C33">IFERROR(INDEX('03.Muestra'!$F$8:$F$42,SMALL(IF("Página Web"='03.Muestra'!$D$8:$D$42,ROW('03.Muestra'!$F$8:$F$42)-MIN(ROW('03.Muestra'!$D$8:$D$42))+1,""),ROW()-18)),"")</f>
        <v>https://elecciones.comunidad.madrid/es/preguntas-frecuentes/voto-correo-electores-residentes-extranjero</v>
      </c>
      <c r="D33" s="99" t="s">
        <v>176</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Contacto</v>
      </c>
      <c r="C34" s="174" t="str" cm="1">
        <f t="array" ref="C34">IFERROR(INDEX('03.Muestra'!$F$8:$F$42,SMALL(IF("Página Web"='03.Muestra'!$D$8:$D$42,ROW('03.Muestra'!$F$8:$F$42)-MIN(ROW('03.Muestra'!$D$8:$D$42))+1,""),ROW()-18)),"")</f>
        <v>https://elecciones.comunidad.madrid/es/buzon-de-sugerencias</v>
      </c>
      <c r="D34" s="99" t="s">
        <v>184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Buscador</v>
      </c>
      <c r="C35" s="174" t="str" cm="1">
        <f t="array" ref="C35">IFERROR(INDEX('03.Muestra'!$F$8:$F$42,SMALL(IF("Página Web"='03.Muestra'!$D$8:$D$42,ROW('03.Muestra'!$F$8:$F$42)-MIN(ROW('03.Muestra'!$D$8:$D$42))+1,""),ROW()-18)),"")</f>
        <v>https://elecciones.comunidad.madrid/es/search?search_api_fulltext=partido</v>
      </c>
      <c r="D35" s="99" t="s">
        <v>184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Aviso Legal-Privacidad</v>
      </c>
      <c r="C36" s="174" t="str" cm="1">
        <f t="array" ref="C36">IFERROR(INDEX('03.Muestra'!$F$8:$F$42,SMALL(IF("Página Web"='03.Muestra'!$D$8:$D$42,ROW('03.Muestra'!$F$8:$F$42)-MIN(ROW('03.Muestra'!$D$8:$D$42))+1,""),ROW()-18)),"")</f>
        <v>https://elecciones.comunidad.madrid/es/aviso-legal</v>
      </c>
      <c r="D36" s="99" t="s">
        <v>176</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Mapa Web</v>
      </c>
      <c r="C37" s="174" t="str" cm="1">
        <f t="array" ref="C37">IFERROR(INDEX('03.Muestra'!$F$8:$F$42,SMALL(IF("Página Web"='03.Muestra'!$D$8:$D$42,ROW('03.Muestra'!$F$8:$F$42)-MIN(ROW('03.Muestra'!$D$8:$D$42))+1,""),ROW()-18)),"")</f>
        <v>https://elecciones.comunidad.madrid/es/sitemap</v>
      </c>
      <c r="D37" s="99" t="s">
        <v>184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Declaracion Accesibilidad</v>
      </c>
      <c r="C38" s="174" t="str" cm="1">
        <f t="array" ref="C38">IFERROR(INDEX('03.Muestra'!$F$8:$F$42,SMALL(IF("Página Web"='03.Muestra'!$D$8:$D$42,ROW('03.Muestra'!$F$8:$F$42)-MIN(ROW('03.Muestra'!$D$8:$D$42))+1,""),ROW()-18)),"")</f>
        <v>https://elecciones.comunidad.madrid/es/accesibilidad</v>
      </c>
      <c r="D38" s="99" t="s">
        <v>176</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181</v>
      </c>
      <c r="B56" s="23" t="s">
        <v>173</v>
      </c>
      <c r="C56" s="24" t="s">
        <v>190</v>
      </c>
      <c r="D56" s="25" t="s">
        <v>183</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https://elecciones.comunidad.madrid/es</v>
      </c>
      <c r="D57" s="99" t="s">
        <v>184</v>
      </c>
      <c r="E57" s="79" t="str">
        <f t="shared" ref="E57:E91" si="2">IF(D57&lt;&gt;"",IF(AND(B57&lt;&gt;"",C57&lt;&gt;""),"","ERR"),"")</f>
        <v/>
      </c>
      <c r="F57" s="86" t="s">
        <v>185</v>
      </c>
      <c r="G57" s="87" t="s">
        <v>186</v>
      </c>
      <c r="H57" s="88" t="s">
        <v>184</v>
      </c>
      <c r="I57" s="89" t="s">
        <v>176</v>
      </c>
      <c r="J57" s="90" t="s">
        <v>174</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Resultado Elecciones 28M 2023</v>
      </c>
      <c r="C58" s="175" t="str" cm="1">
        <f t="array" ref="C58">IFERROR(INDEX('03.Muestra'!$F$8:$F$42,SMALL(IF("Página Web"='03.Muestra'!$D$8:$D$42,ROW('03.Muestra'!$F$8:$F$42)-MIN(ROW('03.Muestra'!$D$8:$D$42))+1,""),ROW()-56)),"")</f>
        <v>https://elecciones.comunidad.madrid/es/resultados-elecciones-asamblea-madrid-28m-2023</v>
      </c>
      <c r="D58" s="99" t="s">
        <v>184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Normativa electoral</v>
      </c>
      <c r="C59" s="175" t="str" cm="1">
        <f t="array" ref="C59">IFERROR(INDEX('03.Muestra'!$F$8:$F$42,SMALL(IF("Página Web"='03.Muestra'!$D$8:$D$42,ROW('03.Muestra'!$F$8:$F$42)-MIN(ROW('03.Muestra'!$D$8:$D$42))+1,""),ROW()-56)),"")</f>
        <v>https://elecciones.comunidad.madrid/es/informacion-electoral/normativa-electoral</v>
      </c>
      <c r="D59" s="99" t="s">
        <v>184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Calendario electoral</v>
      </c>
      <c r="C60" s="175" t="str" cm="1">
        <f t="array" ref="C60">IFERROR(INDEX('03.Muestra'!$F$8:$F$42,SMALL(IF("Página Web"='03.Muestra'!$D$8:$D$42,ROW('03.Muestra'!$F$8:$F$42)-MIN(ROW('03.Muestra'!$D$8:$D$42))+1,""),ROW()-56)),"")</f>
        <v>https://elecciones.comunidad.madrid/es/informacion-electoral/calendario-electoral</v>
      </c>
      <c r="D60" s="99" t="s">
        <v>184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Direcciones y teléfonos</v>
      </c>
      <c r="C61" s="175" t="str" cm="1">
        <f t="array" ref="C61">IFERROR(INDEX('03.Muestra'!$F$8:$F$42,SMALL(IF("Página Web"='03.Muestra'!$D$8:$D$42,ROW('03.Muestra'!$F$8:$F$42)-MIN(ROW('03.Muestra'!$D$8:$D$42))+1,""),ROW()-56)),"")</f>
        <v>https://elecciones.comunidad.madrid/es/juntas-electorales/direcciones-telefonos</v>
      </c>
      <c r="D61" s="99" t="s">
        <v>184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Impresos electrónicos</v>
      </c>
      <c r="C62" s="175" t="str" cm="1">
        <f t="array" ref="C62">IFERROR(INDEX('03.Muestra'!$F$8:$F$42,SMALL(IF("Página Web"='03.Muestra'!$D$8:$D$42,ROW('03.Muestra'!$F$8:$F$42)-MIN(ROW('03.Muestra'!$D$8:$D$42))+1,""),ROW()-56)),"")</f>
        <v>https://elecciones.comunidad.madrid/es/formaciones-politicas/impresos-electronicos</v>
      </c>
      <c r="D62" s="99" t="s">
        <v>184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Listado de candidaturas</v>
      </c>
      <c r="C63" s="175" t="str" cm="1">
        <f t="array" ref="C63">IFERROR(INDEX('03.Muestra'!$F$8:$F$42,SMALL(IF("Página Web"='03.Muestra'!$D$8:$D$42,ROW('03.Muestra'!$F$8:$F$42)-MIN(ROW('03.Muestra'!$D$8:$D$42))+1,""),ROW()-56)),"")</f>
        <v>https://elecciones.comunidad.madrid/es/formaciones-politicas/listado-candidaturas-proclamadas</v>
      </c>
      <c r="D63" s="99" t="s">
        <v>184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Partido Feminista de España</v>
      </c>
      <c r="C64" s="175" t="str" cm="1">
        <f t="array" ref="C64">IFERROR(INDEX('03.Muestra'!$F$8:$F$42,SMALL(IF("Página Web"='03.Muestra'!$D$8:$D$42,ROW('03.Muestra'!$F$8:$F$42)-MIN(ROW('03.Muestra'!$D$8:$D$42))+1,""),ROW()-56)),"")</f>
        <v>https://elecciones.comunidad.madrid/es/formaciones-politicas/listado-candidaturas/partido-feminista-espana</v>
      </c>
      <c r="D64" s="99" t="s">
        <v>184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¿Dónde voto?</v>
      </c>
      <c r="C65" s="175" t="str" cm="1">
        <f t="array" ref="C65">IFERROR(INDEX('03.Muestra'!$F$8:$F$42,SMALL(IF("Página Web"='03.Muestra'!$D$8:$D$42,ROW('03.Muestra'!$F$8:$F$42)-MIN(ROW('03.Muestra'!$D$8:$D$42))+1,""),ROW()-56)),"")</f>
        <v>https://elecciones.comunidad.madrid/es/votar/donde-voto</v>
      </c>
      <c r="D65" s="99" t="s">
        <v>184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Voto presencial</v>
      </c>
      <c r="C66" s="175" t="str" cm="1">
        <f t="array" ref="C66">IFERROR(INDEX('03.Muestra'!$F$8:$F$42,SMALL(IF("Página Web"='03.Muestra'!$D$8:$D$42,ROW('03.Muestra'!$F$8:$F$42)-MIN(ROW('03.Muestra'!$D$8:$D$42))+1,""),ROW()-56)),"")</f>
        <v>https://elecciones.comunidad.madrid/es/voto-local-electoral/voto-presencial</v>
      </c>
      <c r="D66" s="99" t="s">
        <v>184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Ciudadanos temporalmente en el extranjero</v>
      </c>
      <c r="C67" s="175" t="str" cm="1">
        <f t="array" ref="C67">IFERROR(INDEX('03.Muestra'!$F$8:$F$42,SMALL(IF("Página Web"='03.Muestra'!$D$8:$D$42,ROW('03.Muestra'!$F$8:$F$42)-MIN(ROW('03.Muestra'!$D$8:$D$42))+1,""),ROW()-56)),"")</f>
        <v>https://elecciones.comunidad.madrid/es/voto-correo/solicitud-voto-temporalmente-ausentes</v>
      </c>
      <c r="D67" s="99" t="s">
        <v>184</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Nuevo votante</v>
      </c>
      <c r="C68" s="175" t="str" cm="1">
        <f t="array" ref="C68">IFERROR(INDEX('03.Muestra'!$F$8:$F$42,SMALL(IF("Página Web"='03.Muestra'!$D$8:$D$42,ROW('03.Muestra'!$F$8:$F$42)-MIN(ROW('03.Muestra'!$D$8:$D$42))+1,""),ROW()-56)),"")</f>
        <v>https://elecciones.comunidad.madrid/es/votar/nuevo-votante</v>
      </c>
      <c r="D68" s="99" t="s">
        <v>184</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Simulación método D'Hondt</v>
      </c>
      <c r="C69" s="175" t="str" cm="1">
        <f t="array" ref="C69">IFERROR(INDEX('03.Muestra'!$F$8:$F$42,SMALL(IF("Página Web"='03.Muestra'!$D$8:$D$42,ROW('03.Muestra'!$F$8:$F$42)-MIN(ROW('03.Muestra'!$D$8:$D$42))+1,""),ROW()-56)),"")</f>
        <v>https://elecciones.comunidad.madrid/es/informacion-util/simulacion-metodo-dhondt</v>
      </c>
      <c r="D69" s="99" t="s">
        <v>184</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Ley D'Hondt</v>
      </c>
      <c r="C70" s="175" t="str" cm="1">
        <f t="array" ref="C70">IFERROR(INDEX('03.Muestra'!$F$8:$F$42,SMALL(IF("Página Web"='03.Muestra'!$D$8:$D$42,ROW('03.Muestra'!$F$8:$F$42)-MIN(ROW('03.Muestra'!$D$8:$D$42))+1,""),ROW()-56)),"")</f>
        <v>https://elecciones.comunidad.madrid/es/resultados/ley_d_hondt</v>
      </c>
      <c r="D70" s="99" t="s">
        <v>184</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Voto por correo elector CERA en España</v>
      </c>
      <c r="C71" s="175" t="str" cm="1">
        <f t="array" ref="C71">IFERROR(INDEX('03.Muestra'!$F$8:$F$42,SMALL(IF("Página Web"='03.Muestra'!$D$8:$D$42,ROW('03.Muestra'!$F$8:$F$42)-MIN(ROW('03.Muestra'!$D$8:$D$42))+1,""),ROW()-56)),"")</f>
        <v>https://elecciones.comunidad.madrid/es/preguntas-frecuentes/voto-correo-electores-residentes-extranjero</v>
      </c>
      <c r="D71" s="99" t="s">
        <v>184</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Contacto</v>
      </c>
      <c r="C72" s="175" t="str" cm="1">
        <f t="array" ref="C72">IFERROR(INDEX('03.Muestra'!$F$8:$F$42,SMALL(IF("Página Web"='03.Muestra'!$D$8:$D$42,ROW('03.Muestra'!$F$8:$F$42)-MIN(ROW('03.Muestra'!$D$8:$D$42))+1,""),ROW()-56)),"")</f>
        <v>https://elecciones.comunidad.madrid/es/buzon-de-sugerencias</v>
      </c>
      <c r="D72" s="99" t="s">
        <v>184</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Buscador</v>
      </c>
      <c r="C73" s="175" t="str" cm="1">
        <f t="array" ref="C73">IFERROR(INDEX('03.Muestra'!$F$8:$F$42,SMALL(IF("Página Web"='03.Muestra'!$D$8:$D$42,ROW('03.Muestra'!$F$8:$F$42)-MIN(ROW('03.Muestra'!$D$8:$D$42))+1,""),ROW()-56)),"")</f>
        <v>https://elecciones.comunidad.madrid/es/search?search_api_fulltext=partido</v>
      </c>
      <c r="D73" s="99" t="s">
        <v>184</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Aviso Legal-Privacidad</v>
      </c>
      <c r="C74" s="175" t="str" cm="1">
        <f t="array" ref="C74">IFERROR(INDEX('03.Muestra'!$F$8:$F$42,SMALL(IF("Página Web"='03.Muestra'!$D$8:$D$42,ROW('03.Muestra'!$F$8:$F$42)-MIN(ROW('03.Muestra'!$D$8:$D$42))+1,""),ROW()-56)),"")</f>
        <v>https://elecciones.comunidad.madrid/es/aviso-legal</v>
      </c>
      <c r="D74" s="99" t="s">
        <v>184</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Mapa Web</v>
      </c>
      <c r="C75" s="175" t="str" cm="1">
        <f t="array" ref="C75">IFERROR(INDEX('03.Muestra'!$F$8:$F$42,SMALL(IF("Página Web"='03.Muestra'!$D$8:$D$42,ROW('03.Muestra'!$F$8:$F$42)-MIN(ROW('03.Muestra'!$D$8:$D$42))+1,""),ROW()-56)),"")</f>
        <v>https://elecciones.comunidad.madrid/es/sitemap</v>
      </c>
      <c r="D75" s="99" t="s">
        <v>184</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Declaracion Accesibilidad</v>
      </c>
      <c r="C76" s="175" t="str" cm="1">
        <f t="array" ref="C76">IFERROR(INDEX('03.Muestra'!$F$8:$F$42,SMALL(IF("Página Web"='03.Muestra'!$D$8:$D$42,ROW('03.Muestra'!$F$8:$F$42)-MIN(ROW('03.Muestra'!$D$8:$D$42))+1,""),ROW()-56)),"")</f>
        <v>https://elecciones.comunidad.madrid/es/accesibilidad</v>
      </c>
      <c r="D76" s="99" t="s">
        <v>184</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181</v>
      </c>
      <c r="B94" s="23" t="s">
        <v>173</v>
      </c>
      <c r="C94" s="24" t="s">
        <v>191</v>
      </c>
      <c r="D94" s="25" t="s">
        <v>183</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https://elecciones.comunidad.madrid/es</v>
      </c>
      <c r="D95" s="99" t="s">
        <v>184</v>
      </c>
      <c r="E95" s="79" t="str">
        <f t="shared" ref="E95:E129" si="4">IF(D95&lt;&gt;"",IF(AND(B95&lt;&gt;"",C95&lt;&gt;""),"","ERR"),"")</f>
        <v/>
      </c>
      <c r="F95" s="86" t="s">
        <v>185</v>
      </c>
      <c r="G95" s="87" t="s">
        <v>186</v>
      </c>
      <c r="H95" s="88" t="s">
        <v>184</v>
      </c>
      <c r="I95" s="89" t="s">
        <v>176</v>
      </c>
      <c r="J95" s="90" t="s">
        <v>174</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Resultado Elecciones 28M 2023</v>
      </c>
      <c r="C96" s="175" t="str" cm="1">
        <f t="array" ref="C96">IFERROR(INDEX('03.Muestra'!$F$8:$F$42,SMALL(IF("Página Web"='03.Muestra'!$D$8:$D$42,ROW('03.Muestra'!$F$8:$F$42)-MIN(ROW('03.Muestra'!$D$8:$D$42))+1,""),ROW()-94)),"")</f>
        <v>https://elecciones.comunidad.madrid/es/resultados-elecciones-asamblea-madrid-28m-2023</v>
      </c>
      <c r="D96" s="99" t="s">
        <v>184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Normativa electoral</v>
      </c>
      <c r="C97" s="175" t="str" cm="1">
        <f t="array" ref="C97">IFERROR(INDEX('03.Muestra'!$F$8:$F$42,SMALL(IF("Página Web"='03.Muestra'!$D$8:$D$42,ROW('03.Muestra'!$F$8:$F$42)-MIN(ROW('03.Muestra'!$D$8:$D$42))+1,""),ROW()-94)),"")</f>
        <v>https://elecciones.comunidad.madrid/es/informacion-electoral/normativa-electoral</v>
      </c>
      <c r="D97" s="99" t="s">
        <v>184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Calendario electoral</v>
      </c>
      <c r="C98" s="175" t="str" cm="1">
        <f t="array" ref="C98">IFERROR(INDEX('03.Muestra'!$F$8:$F$42,SMALL(IF("Página Web"='03.Muestra'!$D$8:$D$42,ROW('03.Muestra'!$F$8:$F$42)-MIN(ROW('03.Muestra'!$D$8:$D$42))+1,""),ROW()-94)),"")</f>
        <v>https://elecciones.comunidad.madrid/es/informacion-electoral/calendario-electoral</v>
      </c>
      <c r="D98" s="99" t="s">
        <v>184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Direcciones y teléfonos</v>
      </c>
      <c r="C99" s="175" t="str" cm="1">
        <f t="array" ref="C99">IFERROR(INDEX('03.Muestra'!$F$8:$F$42,SMALL(IF("Página Web"='03.Muestra'!$D$8:$D$42,ROW('03.Muestra'!$F$8:$F$42)-MIN(ROW('03.Muestra'!$D$8:$D$42))+1,""),ROW()-94)),"")</f>
        <v>https://elecciones.comunidad.madrid/es/juntas-electorales/direcciones-telefonos</v>
      </c>
      <c r="D99" s="99" t="s">
        <v>184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Impresos electrónicos</v>
      </c>
      <c r="C100" s="175" t="str" cm="1">
        <f t="array" ref="C100">IFERROR(INDEX('03.Muestra'!$F$8:$F$42,SMALL(IF("Página Web"='03.Muestra'!$D$8:$D$42,ROW('03.Muestra'!$F$8:$F$42)-MIN(ROW('03.Muestra'!$D$8:$D$42))+1,""),ROW()-94)),"")</f>
        <v>https://elecciones.comunidad.madrid/es/formaciones-politicas/impresos-electronicos</v>
      </c>
      <c r="D100" s="99" t="s">
        <v>184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Listado de candidaturas</v>
      </c>
      <c r="C101" s="175" t="str" cm="1">
        <f t="array" ref="C101">IFERROR(INDEX('03.Muestra'!$F$8:$F$42,SMALL(IF("Página Web"='03.Muestra'!$D$8:$D$42,ROW('03.Muestra'!$F$8:$F$42)-MIN(ROW('03.Muestra'!$D$8:$D$42))+1,""),ROW()-94)),"")</f>
        <v>https://elecciones.comunidad.madrid/es/formaciones-politicas/listado-candidaturas-proclamadas</v>
      </c>
      <c r="D101" s="99" t="s">
        <v>184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Partido Feminista de España</v>
      </c>
      <c r="C102" s="175" t="str" cm="1">
        <f t="array" ref="C102">IFERROR(INDEX('03.Muestra'!$F$8:$F$42,SMALL(IF("Página Web"='03.Muestra'!$D$8:$D$42,ROW('03.Muestra'!$F$8:$F$42)-MIN(ROW('03.Muestra'!$D$8:$D$42))+1,""),ROW()-94)),"")</f>
        <v>https://elecciones.comunidad.madrid/es/formaciones-politicas/listado-candidaturas/partido-feminista-espana</v>
      </c>
      <c r="D102" s="99" t="s">
        <v>184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¿Dónde voto?</v>
      </c>
      <c r="C103" s="175" t="str" cm="1">
        <f t="array" ref="C103">IFERROR(INDEX('03.Muestra'!$F$8:$F$42,SMALL(IF("Página Web"='03.Muestra'!$D$8:$D$42,ROW('03.Muestra'!$F$8:$F$42)-MIN(ROW('03.Muestra'!$D$8:$D$42))+1,""),ROW()-94)),"")</f>
        <v>https://elecciones.comunidad.madrid/es/votar/donde-voto</v>
      </c>
      <c r="D103" s="99" t="s">
        <v>184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Voto presencial</v>
      </c>
      <c r="C104" s="175" t="str" cm="1">
        <f t="array" ref="C104">IFERROR(INDEX('03.Muestra'!$F$8:$F$42,SMALL(IF("Página Web"='03.Muestra'!$D$8:$D$42,ROW('03.Muestra'!$F$8:$F$42)-MIN(ROW('03.Muestra'!$D$8:$D$42))+1,""),ROW()-94)),"")</f>
        <v>https://elecciones.comunidad.madrid/es/voto-local-electoral/voto-presencial</v>
      </c>
      <c r="D104" s="99" t="s">
        <v>184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Ciudadanos temporalmente en el extranjero</v>
      </c>
      <c r="C105" s="175" t="str" cm="1">
        <f t="array" ref="C105">IFERROR(INDEX('03.Muestra'!$F$8:$F$42,SMALL(IF("Página Web"='03.Muestra'!$D$8:$D$42,ROW('03.Muestra'!$F$8:$F$42)-MIN(ROW('03.Muestra'!$D$8:$D$42))+1,""),ROW()-94)),"")</f>
        <v>https://elecciones.comunidad.madrid/es/voto-correo/solicitud-voto-temporalmente-ausentes</v>
      </c>
      <c r="D105" s="99" t="s">
        <v>184</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Nuevo votante</v>
      </c>
      <c r="C106" s="175" t="str" cm="1">
        <f t="array" ref="C106">IFERROR(INDEX('03.Muestra'!$F$8:$F$42,SMALL(IF("Página Web"='03.Muestra'!$D$8:$D$42,ROW('03.Muestra'!$F$8:$F$42)-MIN(ROW('03.Muestra'!$D$8:$D$42))+1,""),ROW()-94)),"")</f>
        <v>https://elecciones.comunidad.madrid/es/votar/nuevo-votante</v>
      </c>
      <c r="D106" s="99" t="s">
        <v>184</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Simulación método D'Hondt</v>
      </c>
      <c r="C107" s="175" t="str" cm="1">
        <f t="array" ref="C107">IFERROR(INDEX('03.Muestra'!$F$8:$F$42,SMALL(IF("Página Web"='03.Muestra'!$D$8:$D$42,ROW('03.Muestra'!$F$8:$F$42)-MIN(ROW('03.Muestra'!$D$8:$D$42))+1,""),ROW()-94)),"")</f>
        <v>https://elecciones.comunidad.madrid/es/informacion-util/simulacion-metodo-dhondt</v>
      </c>
      <c r="D107" s="99" t="s">
        <v>184</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Ley D'Hondt</v>
      </c>
      <c r="C108" s="175" t="str" cm="1">
        <f t="array" ref="C108">IFERROR(INDEX('03.Muestra'!$F$8:$F$42,SMALL(IF("Página Web"='03.Muestra'!$D$8:$D$42,ROW('03.Muestra'!$F$8:$F$42)-MIN(ROW('03.Muestra'!$D$8:$D$42))+1,""),ROW()-94)),"")</f>
        <v>https://elecciones.comunidad.madrid/es/resultados/ley_d_hondt</v>
      </c>
      <c r="D108" s="99" t="s">
        <v>184</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Voto por correo elector CERA en España</v>
      </c>
      <c r="C109" s="175" t="str" cm="1">
        <f t="array" ref="C109">IFERROR(INDEX('03.Muestra'!$F$8:$F$42,SMALL(IF("Página Web"='03.Muestra'!$D$8:$D$42,ROW('03.Muestra'!$F$8:$F$42)-MIN(ROW('03.Muestra'!$D$8:$D$42))+1,""),ROW()-94)),"")</f>
        <v>https://elecciones.comunidad.madrid/es/preguntas-frecuentes/voto-correo-electores-residentes-extranjero</v>
      </c>
      <c r="D109" s="99" t="s">
        <v>184</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Contacto</v>
      </c>
      <c r="C110" s="175" t="str" cm="1">
        <f t="array" ref="C110">IFERROR(INDEX('03.Muestra'!$F$8:$F$42,SMALL(IF("Página Web"='03.Muestra'!$D$8:$D$42,ROW('03.Muestra'!$F$8:$F$42)-MIN(ROW('03.Muestra'!$D$8:$D$42))+1,""),ROW()-94)),"")</f>
        <v>https://elecciones.comunidad.madrid/es/buzon-de-sugerencias</v>
      </c>
      <c r="D110" s="99" t="s">
        <v>184</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Buscador</v>
      </c>
      <c r="C111" s="175" t="str" cm="1">
        <f t="array" ref="C111">IFERROR(INDEX('03.Muestra'!$F$8:$F$42,SMALL(IF("Página Web"='03.Muestra'!$D$8:$D$42,ROW('03.Muestra'!$F$8:$F$42)-MIN(ROW('03.Muestra'!$D$8:$D$42))+1,""),ROW()-94)),"")</f>
        <v>https://elecciones.comunidad.madrid/es/search?search_api_fulltext=partido</v>
      </c>
      <c r="D111" s="99" t="s">
        <v>184</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Aviso Legal-Privacidad</v>
      </c>
      <c r="C112" s="175" t="str" cm="1">
        <f t="array" ref="C112">IFERROR(INDEX('03.Muestra'!$F$8:$F$42,SMALL(IF("Página Web"='03.Muestra'!$D$8:$D$42,ROW('03.Muestra'!$F$8:$F$42)-MIN(ROW('03.Muestra'!$D$8:$D$42))+1,""),ROW()-94)),"")</f>
        <v>https://elecciones.comunidad.madrid/es/aviso-legal</v>
      </c>
      <c r="D112" s="99" t="s">
        <v>184</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Mapa Web</v>
      </c>
      <c r="C113" s="175" t="str" cm="1">
        <f t="array" ref="C113">IFERROR(INDEX('03.Muestra'!$F$8:$F$42,SMALL(IF("Página Web"='03.Muestra'!$D$8:$D$42,ROW('03.Muestra'!$F$8:$F$42)-MIN(ROW('03.Muestra'!$D$8:$D$42))+1,""),ROW()-94)),"")</f>
        <v>https://elecciones.comunidad.madrid/es/sitemap</v>
      </c>
      <c r="D113" s="99" t="s">
        <v>184</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Declaracion Accesibilidad</v>
      </c>
      <c r="C114" s="175" t="str" cm="1">
        <f t="array" ref="C114">IFERROR(INDEX('03.Muestra'!$F$8:$F$42,SMALL(IF("Página Web"='03.Muestra'!$D$8:$D$42,ROW('03.Muestra'!$F$8:$F$42)-MIN(ROW('03.Muestra'!$D$8:$D$42))+1,""),ROW()-94)),"")</f>
        <v>https://elecciones.comunidad.madrid/es/accesibilidad</v>
      </c>
      <c r="D114" s="99" t="s">
        <v>184</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122" priority="20" stopIfTrue="1" operator="equal">
      <formula>"-"</formula>
    </cfRule>
  </conditionalFormatting>
  <conditionalFormatting sqref="D19:D53 D57:D91 D95:D129 F19:J19 F57:J57 F95:J95">
    <cfRule type="expression" dxfId="1121" priority="148" stopIfTrue="1">
      <formula>ISBLANK(D19)</formula>
    </cfRule>
  </conditionalFormatting>
  <conditionalFormatting sqref="E19:E53 E57:E91 E95:E129">
    <cfRule type="cellIs" dxfId="1120" priority="154" stopIfTrue="1" operator="equal">
      <formula>"ERR"</formula>
    </cfRule>
  </conditionalFormatting>
  <conditionalFormatting sqref="F19:J19 D19:D53 F57:J57 D57:D91 F95:J95 D95:D129">
    <cfRule type="cellIs" dxfId="1119" priority="149" stopIfTrue="1" operator="equal">
      <formula>"Pasa"</formula>
    </cfRule>
    <cfRule type="cellIs" dxfId="1118" priority="150" stopIfTrue="1" operator="equal">
      <formula>"Falla"</formula>
    </cfRule>
    <cfRule type="cellIs" dxfId="1117" priority="151" stopIfTrue="1" operator="equal">
      <formula>"N/A"</formula>
    </cfRule>
    <cfRule type="cellIs" dxfId="1116" priority="152" stopIfTrue="1" operator="equal">
      <formula>"N/T"</formula>
    </cfRule>
    <cfRule type="cellIs" dxfId="1115" priority="153" stopIfTrue="1" operator="equal">
      <formula>"N/D"</formula>
    </cfRule>
  </conditionalFormatting>
  <conditionalFormatting sqref="K23:K24">
    <cfRule type="expression" dxfId="1114" priority="1" stopIfTrue="1">
      <formula>ISBLANK(K23)</formula>
    </cfRule>
    <cfRule type="cellIs" dxfId="1113" priority="2" stopIfTrue="1" operator="equal">
      <formula>"Pasa"</formula>
    </cfRule>
    <cfRule type="cellIs" dxfId="1112" priority="3" stopIfTrue="1" operator="equal">
      <formula>"Falla"</formula>
    </cfRule>
    <cfRule type="cellIs" dxfId="1111" priority="4" stopIfTrue="1" operator="equal">
      <formula>"N/A"</formula>
    </cfRule>
    <cfRule type="cellIs" dxfId="1110" priority="5" stopIfTrue="1" operator="equal">
      <formula>"N/T"</formula>
    </cfRule>
    <cfRule type="cellIs" dxfId="1109"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22" sqref="D705:D72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192</v>
      </c>
      <c r="C3" s="26"/>
      <c r="D3" s="78"/>
      <c r="E3" s="79"/>
    </row>
    <row r="4" spans="1:64" ht="26.1" customHeight="1">
      <c r="B4" s="1"/>
      <c r="C4" s="47"/>
      <c r="D4" s="14"/>
      <c r="E4" s="14"/>
      <c r="K4" s="18"/>
      <c r="N4" s="18"/>
      <c r="O4" s="18"/>
    </row>
    <row r="5" spans="1:64" ht="27.9" customHeight="1">
      <c r="B5" s="7" t="s">
        <v>165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193</v>
      </c>
      <c r="C8" s="18"/>
      <c r="D8" s="79"/>
      <c r="E8" s="79"/>
      <c r="F8" s="18"/>
      <c r="G8" s="18"/>
      <c r="H8" s="18"/>
      <c r="I8" s="18"/>
      <c r="J8" s="18"/>
      <c r="K8" s="18"/>
      <c r="L8" s="18"/>
      <c r="M8" s="18"/>
      <c r="N8" s="18"/>
      <c r="O8" s="18"/>
    </row>
    <row r="9" spans="1:64" ht="30" customHeight="1">
      <c r="B9" s="231" t="s">
        <v>167</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168</v>
      </c>
      <c r="C11" s="230"/>
      <c r="D11" s="26"/>
      <c r="E11" s="14"/>
      <c r="F11" s="196" t="s">
        <v>169</v>
      </c>
      <c r="G11" s="105" t="s">
        <v>170</v>
      </c>
      <c r="H11" s="197" t="s">
        <v>171</v>
      </c>
      <c r="I11" s="22"/>
      <c r="J11" s="196" t="s">
        <v>172</v>
      </c>
      <c r="K11" s="105" t="s">
        <v>170</v>
      </c>
      <c r="L11" s="197" t="s">
        <v>171</v>
      </c>
      <c r="M11" s="18"/>
      <c r="N11" s="18"/>
      <c r="O11" s="18"/>
      <c r="P11" s="18"/>
      <c r="Q11" s="18"/>
      <c r="R11" s="18"/>
      <c r="U11" s="18"/>
      <c r="V11" s="18"/>
      <c r="W11" s="18"/>
      <c r="X11" s="18"/>
      <c r="Y11" s="18"/>
    </row>
    <row r="12" spans="1:64" ht="12" customHeight="1">
      <c r="B12" s="108" t="s">
        <v>173</v>
      </c>
      <c r="C12" s="198">
        <f>COUNTIF($B$18:$B$4418,B12)</f>
        <v>19</v>
      </c>
      <c r="D12" s="26"/>
      <c r="E12" s="14"/>
      <c r="F12" s="199" t="s">
        <v>174</v>
      </c>
      <c r="G12" s="72">
        <f ca="1">J20+J58+J96+J134+J172+J210+J248+J286+J324+J362+J400+J438+J476+J514+J552+J590+J628+J666+J704</f>
        <v>0</v>
      </c>
      <c r="H12" s="42">
        <f ca="1">IF(($G$15+$K$15)=0,0,G12/($G$15+$K$15))</f>
        <v>0</v>
      </c>
      <c r="I12" s="26"/>
      <c r="J12" s="183" t="s">
        <v>175</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176</v>
      </c>
      <c r="G13" s="72">
        <f ca="1">I20+I58+I96+I134+I172+I210+I248+I286+I324+I362+I400+I438+I476+I514+I552+I590+I628+I666+I704</f>
        <v>0</v>
      </c>
      <c r="H13" s="42">
        <f ca="1">IF(($G$15+$K$15)=0,0,G13/($G$15+$K$15))</f>
        <v>0</v>
      </c>
      <c r="I13" s="26"/>
      <c r="J13" s="183" t="s">
        <v>177</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178</v>
      </c>
      <c r="C14" s="201">
        <f>C12+C13</f>
        <v>19</v>
      </c>
      <c r="D14" s="26"/>
      <c r="E14" s="14"/>
      <c r="F14" s="199" t="s">
        <v>179</v>
      </c>
      <c r="G14" s="72">
        <f ca="1">H20+H58+H96+H134+H172+H210+H248+H286+H324+H362+H400+H438+H476+H514+H552+H590+H628+H666+H704</f>
        <v>380</v>
      </c>
      <c r="H14" s="42">
        <f ca="1">IF(($G$15+$K$15)=0,0,G14/($G$15+$K$15))</f>
        <v>1</v>
      </c>
      <c r="I14" s="26"/>
      <c r="J14" s="177" t="s">
        <v>180</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178</v>
      </c>
      <c r="G15" s="203">
        <f ca="1">SUM(G12:G14)</f>
        <v>380</v>
      </c>
      <c r="H15" s="204">
        <f ca="1">SUM(H12:H14)</f>
        <v>1</v>
      </c>
      <c r="I15" s="26"/>
      <c r="J15" s="200" t="s">
        <v>178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181</v>
      </c>
      <c r="B18" s="23" t="s">
        <v>173</v>
      </c>
      <c r="C18" s="24" t="s">
        <v>194</v>
      </c>
      <c r="D18" s="25" t="s">
        <v>183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https://elecciones.comunidad.madrid/es</v>
      </c>
      <c r="D19" s="99" t="s">
        <v>184</v>
      </c>
      <c r="E19" s="79" t="str">
        <f t="shared" ref="E19:E53" si="0">IF(D19&lt;&gt;"",IF(AND(B19&lt;&gt;"",C19&lt;&gt;""),"","ERR"),"")</f>
        <v/>
      </c>
      <c r="F19" s="86" t="s">
        <v>185</v>
      </c>
      <c r="G19" s="87" t="s">
        <v>186</v>
      </c>
      <c r="H19" s="88" t="s">
        <v>184</v>
      </c>
      <c r="I19" s="89" t="s">
        <v>176</v>
      </c>
      <c r="J19" s="90" t="s">
        <v>174</v>
      </c>
      <c r="K19" s="179" t="s">
        <v>180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Resultado Elecciones 28M 2023</v>
      </c>
      <c r="C20" s="85" t="str" cm="1">
        <f t="array" ref="C20">IFERROR(INDEX('03.Muestra'!$F$8:$F$42,SMALL(IF("Página Web"='03.Muestra'!$D$8:$D$42,ROW('03.Muestra'!$F$8:$F$42)-MIN(ROW('03.Muestra'!$D$8:$D$42))+1,""),ROW()-18)),"")</f>
        <v>https://elecciones.comunidad.madrid/es/resultados-elecciones-asamblea-madrid-28m-2023</v>
      </c>
      <c r="D20" s="99" t="s">
        <v>184</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Normativa electoral</v>
      </c>
      <c r="C21" s="85" t="str" cm="1">
        <f t="array" ref="C21">IFERROR(INDEX('03.Muestra'!$F$8:$F$42,SMALL(IF("Página Web"='03.Muestra'!$D$8:$D$42,ROW('03.Muestra'!$F$8:$F$42)-MIN(ROW('03.Muestra'!$D$8:$D$42))+1,""),ROW()-18)),"")</f>
        <v>https://elecciones.comunidad.madrid/es/informacion-electoral/normativa-electoral</v>
      </c>
      <c r="D21" s="99" t="s">
        <v>184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 electoral</v>
      </c>
      <c r="C22" s="85" t="str" cm="1">
        <f t="array" ref="C22">IFERROR(INDEX('03.Muestra'!$F$8:$F$42,SMALL(IF("Página Web"='03.Muestra'!$D$8:$D$42,ROW('03.Muestra'!$F$8:$F$42)-MIN(ROW('03.Muestra'!$D$8:$D$42))+1,""),ROW()-18)),"")</f>
        <v>https://elecciones.comunidad.madrid/es/informacion-electoral/calendario-electoral</v>
      </c>
      <c r="D22" s="99" t="s">
        <v>184</v>
      </c>
      <c r="E22" s="79" t="str">
        <f t="shared" si="0"/>
        <v/>
      </c>
      <c r="F22" s="18"/>
      <c r="G22" s="18"/>
      <c r="H22" s="18"/>
      <c r="I22" s="18"/>
      <c r="K22" s="170" t="s">
        <v>185</v>
      </c>
      <c r="L22" s="92" t="s">
        <v>187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Direcciones y teléfonos</v>
      </c>
      <c r="C23" s="85" t="str" cm="1">
        <f t="array" ref="C23">IFERROR(INDEX('03.Muestra'!$F$8:$F$42,SMALL(IF("Página Web"='03.Muestra'!$D$8:$D$42,ROW('03.Muestra'!$F$8:$F$42)-MIN(ROW('03.Muestra'!$D$8:$D$42))+1,""),ROW()-18)),"")</f>
        <v>https://elecciones.comunidad.madrid/es/juntas-electorales/direcciones-telefonos</v>
      </c>
      <c r="D23" s="99" t="s">
        <v>184</v>
      </c>
      <c r="E23" s="79" t="str">
        <f t="shared" si="0"/>
        <v/>
      </c>
      <c r="F23" s="78"/>
      <c r="G23" s="18"/>
      <c r="H23" s="18"/>
      <c r="I23" s="18"/>
      <c r="K23" s="88" t="s">
        <v>184</v>
      </c>
      <c r="L23" s="92" t="s">
        <v>188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Impresos electrónicos</v>
      </c>
      <c r="C24" s="85" t="str" cm="1">
        <f t="array" ref="C24">IFERROR(INDEX('03.Muestra'!$F$8:$F$42,SMALL(IF("Página Web"='03.Muestra'!$D$8:$D$42,ROW('03.Muestra'!$F$8:$F$42)-MIN(ROW('03.Muestra'!$D$8:$D$42))+1,""),ROW()-18)),"")</f>
        <v>https://elecciones.comunidad.madrid/es/formaciones-politicas/impresos-electronicos</v>
      </c>
      <c r="D24" s="99" t="s">
        <v>184</v>
      </c>
      <c r="E24" s="79" t="str">
        <f t="shared" si="0"/>
        <v/>
      </c>
      <c r="F24" s="18"/>
      <c r="G24" s="18"/>
      <c r="H24" s="18"/>
      <c r="I24" s="18"/>
      <c r="K24" s="87" t="s">
        <v>186</v>
      </c>
      <c r="L24" s="92" t="s">
        <v>189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Listado de candidaturas</v>
      </c>
      <c r="C25" s="85" t="str" cm="1">
        <f t="array" ref="C25">IFERROR(INDEX('03.Muestra'!$F$8:$F$42,SMALL(IF("Página Web"='03.Muestra'!$D$8:$D$42,ROW('03.Muestra'!$F$8:$F$42)-MIN(ROW('03.Muestra'!$D$8:$D$42))+1,""),ROW()-18)),"")</f>
        <v>https://elecciones.comunidad.madrid/es/formaciones-politicas/listado-candidaturas-proclamadas</v>
      </c>
      <c r="D25" s="99" t="s">
        <v>184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Partido Feminista de España</v>
      </c>
      <c r="C26" s="85" t="str" cm="1">
        <f t="array" ref="C26">IFERROR(INDEX('03.Muestra'!$F$8:$F$42,SMALL(IF("Página Web"='03.Muestra'!$D$8:$D$42,ROW('03.Muestra'!$F$8:$F$42)-MIN(ROW('03.Muestra'!$D$8:$D$42))+1,""),ROW()-18)),"")</f>
        <v>https://elecciones.comunidad.madrid/es/formaciones-politicas/listado-candidaturas/partido-feminista-espana</v>
      </c>
      <c r="D26" s="99" t="s">
        <v>184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¿Dónde voto?</v>
      </c>
      <c r="C27" s="85" t="str" cm="1">
        <f t="array" ref="C27">IFERROR(INDEX('03.Muestra'!$F$8:$F$42,SMALL(IF("Página Web"='03.Muestra'!$D$8:$D$42,ROW('03.Muestra'!$F$8:$F$42)-MIN(ROW('03.Muestra'!$D$8:$D$42))+1,""),ROW()-18)),"")</f>
        <v>https://elecciones.comunidad.madrid/es/votar/donde-voto</v>
      </c>
      <c r="D27" s="99" t="s">
        <v>184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Voto presencial</v>
      </c>
      <c r="C28" s="85" t="str" cm="1">
        <f t="array" ref="C28">IFERROR(INDEX('03.Muestra'!$F$8:$F$42,SMALL(IF("Página Web"='03.Muestra'!$D$8:$D$42,ROW('03.Muestra'!$F$8:$F$42)-MIN(ROW('03.Muestra'!$D$8:$D$42))+1,""),ROW()-18)),"")</f>
        <v>https://elecciones.comunidad.madrid/es/voto-local-electoral/voto-presencial</v>
      </c>
      <c r="D28" s="99" t="s">
        <v>184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Ciudadanos temporalmente en el extranjero</v>
      </c>
      <c r="C29" s="85" t="str" cm="1">
        <f t="array" ref="C29">IFERROR(INDEX('03.Muestra'!$F$8:$F$42,SMALL(IF("Página Web"='03.Muestra'!$D$8:$D$42,ROW('03.Muestra'!$F$8:$F$42)-MIN(ROW('03.Muestra'!$D$8:$D$42))+1,""),ROW()-18)),"")</f>
        <v>https://elecciones.comunidad.madrid/es/voto-correo/solicitud-voto-temporalmente-ausentes</v>
      </c>
      <c r="D29" s="99" t="s">
        <v>184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Nuevo votante</v>
      </c>
      <c r="C30" s="85" t="str" cm="1">
        <f t="array" ref="C30">IFERROR(INDEX('03.Muestra'!$F$8:$F$42,SMALL(IF("Página Web"='03.Muestra'!$D$8:$D$42,ROW('03.Muestra'!$F$8:$F$42)-MIN(ROW('03.Muestra'!$D$8:$D$42))+1,""),ROW()-18)),"")</f>
        <v>https://elecciones.comunidad.madrid/es/votar/nuevo-votante</v>
      </c>
      <c r="D30" s="99" t="s">
        <v>184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Simulación método D'Hondt</v>
      </c>
      <c r="C31" s="85" t="str" cm="1">
        <f t="array" ref="C31">IFERROR(INDEX('03.Muestra'!$F$8:$F$42,SMALL(IF("Página Web"='03.Muestra'!$D$8:$D$42,ROW('03.Muestra'!$F$8:$F$42)-MIN(ROW('03.Muestra'!$D$8:$D$42))+1,""),ROW()-18)),"")</f>
        <v>https://elecciones.comunidad.madrid/es/informacion-util/simulacion-metodo-dhondt</v>
      </c>
      <c r="D31" s="99" t="s">
        <v>184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Ley D'Hondt</v>
      </c>
      <c r="C32" s="85" t="str" cm="1">
        <f t="array" ref="C32">IFERROR(INDEX('03.Muestra'!$F$8:$F$42,SMALL(IF("Página Web"='03.Muestra'!$D$8:$D$42,ROW('03.Muestra'!$F$8:$F$42)-MIN(ROW('03.Muestra'!$D$8:$D$42))+1,""),ROW()-18)),"")</f>
        <v>https://elecciones.comunidad.madrid/es/resultados/ley_d_hondt</v>
      </c>
      <c r="D32" s="99" t="s">
        <v>184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Voto por correo elector CERA en España</v>
      </c>
      <c r="C33" s="85" t="str" cm="1">
        <f t="array" ref="C33">IFERROR(INDEX('03.Muestra'!$F$8:$F$42,SMALL(IF("Página Web"='03.Muestra'!$D$8:$D$42,ROW('03.Muestra'!$F$8:$F$42)-MIN(ROW('03.Muestra'!$D$8:$D$42))+1,""),ROW()-18)),"")</f>
        <v>https://elecciones.comunidad.madrid/es/preguntas-frecuentes/voto-correo-electores-residentes-extranjero</v>
      </c>
      <c r="D33" s="99" t="s">
        <v>184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https://elecciones.comunidad.madrid/es/buzon-de-sugerencias</v>
      </c>
      <c r="D34" s="99" t="s">
        <v>184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https://elecciones.comunidad.madrid/es/search?search_api_fulltext=partido</v>
      </c>
      <c r="D35" s="99" t="s">
        <v>184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Legal-Privacidad</v>
      </c>
      <c r="C36" s="85" t="str" cm="1">
        <f t="array" ref="C36">IFERROR(INDEX('03.Muestra'!$F$8:$F$42,SMALL(IF("Página Web"='03.Muestra'!$D$8:$D$42,ROW('03.Muestra'!$F$8:$F$42)-MIN(ROW('03.Muestra'!$D$8:$D$42))+1,""),ROW()-18)),"")</f>
        <v>https://elecciones.comunidad.madrid/es/aviso-legal</v>
      </c>
      <c r="D36" s="99" t="s">
        <v>184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https://elecciones.comunidad.madrid/es/sitemap</v>
      </c>
      <c r="D37" s="99" t="s">
        <v>184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Declaracion Accesibilidad</v>
      </c>
      <c r="C38" s="85" t="str" cm="1">
        <f t="array" ref="C38">IFERROR(INDEX('03.Muestra'!$F$8:$F$42,SMALL(IF("Página Web"='03.Muestra'!$D$8:$D$42,ROW('03.Muestra'!$F$8:$F$42)-MIN(ROW('03.Muestra'!$D$8:$D$42))+1,""),ROW()-18)),"")</f>
        <v>https://elecciones.comunidad.madrid/es/accesibilidad</v>
      </c>
      <c r="D38" s="99" t="s">
        <v>184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181</v>
      </c>
      <c r="B56" s="23" t="s">
        <v>173</v>
      </c>
      <c r="C56" s="24" t="s">
        <v>195</v>
      </c>
      <c r="D56" s="25" t="s">
        <v>183</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https://elecciones.comunidad.madrid/es</v>
      </c>
      <c r="D57" s="99" t="s">
        <v>184</v>
      </c>
      <c r="E57" s="79" t="str">
        <f t="shared" ref="E57:E91" si="2">IF(D57&lt;&gt;"",IF(AND(B57&lt;&gt;"",C57&lt;&gt;""),"","ERR"),"")</f>
        <v/>
      </c>
      <c r="F57" s="86" t="s">
        <v>185</v>
      </c>
      <c r="G57" s="87" t="s">
        <v>186</v>
      </c>
      <c r="H57" s="88" t="s">
        <v>184</v>
      </c>
      <c r="I57" s="89" t="s">
        <v>176</v>
      </c>
      <c r="J57" s="90" t="s">
        <v>174</v>
      </c>
      <c r="K57" s="181" t="s">
        <v>180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Resultado Elecciones 28M 2023</v>
      </c>
      <c r="C58" s="85" t="str" cm="1">
        <f t="array" ref="C58">IFERROR(INDEX('03.Muestra'!$F$8:$F$42,SMALL(IF("Página Web"='03.Muestra'!$D$8:$D$42,ROW('03.Muestra'!$F$8:$F$42)-MIN(ROW('03.Muestra'!$D$8:$D$42))+1,""),ROW()-56)),"")</f>
        <v>https://elecciones.comunidad.madrid/es/resultados-elecciones-asamblea-madrid-28m-2023</v>
      </c>
      <c r="D58" s="99" t="s">
        <v>184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Normativa electoral</v>
      </c>
      <c r="C59" s="85" t="str" cm="1">
        <f t="array" ref="C59">IFERROR(INDEX('03.Muestra'!$F$8:$F$42,SMALL(IF("Página Web"='03.Muestra'!$D$8:$D$42,ROW('03.Muestra'!$F$8:$F$42)-MIN(ROW('03.Muestra'!$D$8:$D$42))+1,""),ROW()-56)),"")</f>
        <v>https://elecciones.comunidad.madrid/es/informacion-electoral/normativa-electoral</v>
      </c>
      <c r="D59" s="99" t="s">
        <v>184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 electoral</v>
      </c>
      <c r="C60" s="85" t="str" cm="1">
        <f t="array" ref="C60">IFERROR(INDEX('03.Muestra'!$F$8:$F$42,SMALL(IF("Página Web"='03.Muestra'!$D$8:$D$42,ROW('03.Muestra'!$F$8:$F$42)-MIN(ROW('03.Muestra'!$D$8:$D$42))+1,""),ROW()-56)),"")</f>
        <v>https://elecciones.comunidad.madrid/es/informacion-electoral/calendario-electoral</v>
      </c>
      <c r="D60" s="99" t="s">
        <v>184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Direcciones y teléfonos</v>
      </c>
      <c r="C61" s="85" t="str" cm="1">
        <f t="array" ref="C61">IFERROR(INDEX('03.Muestra'!$F$8:$F$42,SMALL(IF("Página Web"='03.Muestra'!$D$8:$D$42,ROW('03.Muestra'!$F$8:$F$42)-MIN(ROW('03.Muestra'!$D$8:$D$42))+1,""),ROW()-56)),"")</f>
        <v>https://elecciones.comunidad.madrid/es/juntas-electorales/direcciones-telefonos</v>
      </c>
      <c r="D61" s="99" t="s">
        <v>184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Impresos electrónicos</v>
      </c>
      <c r="C62" s="85" t="str" cm="1">
        <f t="array" ref="C62">IFERROR(INDEX('03.Muestra'!$F$8:$F$42,SMALL(IF("Página Web"='03.Muestra'!$D$8:$D$42,ROW('03.Muestra'!$F$8:$F$42)-MIN(ROW('03.Muestra'!$D$8:$D$42))+1,""),ROW()-56)),"")</f>
        <v>https://elecciones.comunidad.madrid/es/formaciones-politicas/impresos-electronicos</v>
      </c>
      <c r="D62" s="99" t="s">
        <v>184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Listado de candidaturas</v>
      </c>
      <c r="C63" s="85" t="str" cm="1">
        <f t="array" ref="C63">IFERROR(INDEX('03.Muestra'!$F$8:$F$42,SMALL(IF("Página Web"='03.Muestra'!$D$8:$D$42,ROW('03.Muestra'!$F$8:$F$42)-MIN(ROW('03.Muestra'!$D$8:$D$42))+1,""),ROW()-56)),"")</f>
        <v>https://elecciones.comunidad.madrid/es/formaciones-politicas/listado-candidaturas-proclamadas</v>
      </c>
      <c r="D63" s="99" t="s">
        <v>184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Partido Feminista de España</v>
      </c>
      <c r="C64" s="85" t="str" cm="1">
        <f t="array" ref="C64">IFERROR(INDEX('03.Muestra'!$F$8:$F$42,SMALL(IF("Página Web"='03.Muestra'!$D$8:$D$42,ROW('03.Muestra'!$F$8:$F$42)-MIN(ROW('03.Muestra'!$D$8:$D$42))+1,""),ROW()-56)),"")</f>
        <v>https://elecciones.comunidad.madrid/es/formaciones-politicas/listado-candidaturas/partido-feminista-espana</v>
      </c>
      <c r="D64" s="99" t="s">
        <v>184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¿Dónde voto?</v>
      </c>
      <c r="C65" s="85" t="str" cm="1">
        <f t="array" ref="C65">IFERROR(INDEX('03.Muestra'!$F$8:$F$42,SMALL(IF("Página Web"='03.Muestra'!$D$8:$D$42,ROW('03.Muestra'!$F$8:$F$42)-MIN(ROW('03.Muestra'!$D$8:$D$42))+1,""),ROW()-56)),"")</f>
        <v>https://elecciones.comunidad.madrid/es/votar/donde-voto</v>
      </c>
      <c r="D65" s="99" t="s">
        <v>184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Voto presencial</v>
      </c>
      <c r="C66" s="85" t="str" cm="1">
        <f t="array" ref="C66">IFERROR(INDEX('03.Muestra'!$F$8:$F$42,SMALL(IF("Página Web"='03.Muestra'!$D$8:$D$42,ROW('03.Muestra'!$F$8:$F$42)-MIN(ROW('03.Muestra'!$D$8:$D$42))+1,""),ROW()-56)),"")</f>
        <v>https://elecciones.comunidad.madrid/es/voto-local-electoral/voto-presencial</v>
      </c>
      <c r="D66" s="99" t="s">
        <v>184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Ciudadanos temporalmente en el extranjero</v>
      </c>
      <c r="C67" s="85" t="str" cm="1">
        <f t="array" ref="C67">IFERROR(INDEX('03.Muestra'!$F$8:$F$42,SMALL(IF("Página Web"='03.Muestra'!$D$8:$D$42,ROW('03.Muestra'!$F$8:$F$42)-MIN(ROW('03.Muestra'!$D$8:$D$42))+1,""),ROW()-56)),"")</f>
        <v>https://elecciones.comunidad.madrid/es/voto-correo/solicitud-voto-temporalmente-ausentes</v>
      </c>
      <c r="D67" s="99" t="s">
        <v>184</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Nuevo votante</v>
      </c>
      <c r="C68" s="85" t="str" cm="1">
        <f t="array" ref="C68">IFERROR(INDEX('03.Muestra'!$F$8:$F$42,SMALL(IF("Página Web"='03.Muestra'!$D$8:$D$42,ROW('03.Muestra'!$F$8:$F$42)-MIN(ROW('03.Muestra'!$D$8:$D$42))+1,""),ROW()-56)),"")</f>
        <v>https://elecciones.comunidad.madrid/es/votar/nuevo-votante</v>
      </c>
      <c r="D68" s="99" t="s">
        <v>184</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Simulación método D'Hondt</v>
      </c>
      <c r="C69" s="85" t="str" cm="1">
        <f t="array" ref="C69">IFERROR(INDEX('03.Muestra'!$F$8:$F$42,SMALL(IF("Página Web"='03.Muestra'!$D$8:$D$42,ROW('03.Muestra'!$F$8:$F$42)-MIN(ROW('03.Muestra'!$D$8:$D$42))+1,""),ROW()-56)),"")</f>
        <v>https://elecciones.comunidad.madrid/es/informacion-util/simulacion-metodo-dhondt</v>
      </c>
      <c r="D69" s="99" t="s">
        <v>184</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Ley D'Hondt</v>
      </c>
      <c r="C70" s="85" t="str" cm="1">
        <f t="array" ref="C70">IFERROR(INDEX('03.Muestra'!$F$8:$F$42,SMALL(IF("Página Web"='03.Muestra'!$D$8:$D$42,ROW('03.Muestra'!$F$8:$F$42)-MIN(ROW('03.Muestra'!$D$8:$D$42))+1,""),ROW()-56)),"")</f>
        <v>https://elecciones.comunidad.madrid/es/resultados/ley_d_hondt</v>
      </c>
      <c r="D70" s="99" t="s">
        <v>184</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Voto por correo elector CERA en España</v>
      </c>
      <c r="C71" s="85" t="str" cm="1">
        <f t="array" ref="C71">IFERROR(INDEX('03.Muestra'!$F$8:$F$42,SMALL(IF("Página Web"='03.Muestra'!$D$8:$D$42,ROW('03.Muestra'!$F$8:$F$42)-MIN(ROW('03.Muestra'!$D$8:$D$42))+1,""),ROW()-56)),"")</f>
        <v>https://elecciones.comunidad.madrid/es/preguntas-frecuentes/voto-correo-electores-residentes-extranjero</v>
      </c>
      <c r="D71" s="99" t="s">
        <v>184</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https://elecciones.comunidad.madrid/es/buzon-de-sugerencias</v>
      </c>
      <c r="D72" s="99" t="s">
        <v>184</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https://elecciones.comunidad.madrid/es/search?search_api_fulltext=partido</v>
      </c>
      <c r="D73" s="99" t="s">
        <v>184</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Legal-Privacidad</v>
      </c>
      <c r="C74" s="85" t="str" cm="1">
        <f t="array" ref="C74">IFERROR(INDEX('03.Muestra'!$F$8:$F$42,SMALL(IF("Página Web"='03.Muestra'!$D$8:$D$42,ROW('03.Muestra'!$F$8:$F$42)-MIN(ROW('03.Muestra'!$D$8:$D$42))+1,""),ROW()-56)),"")</f>
        <v>https://elecciones.comunidad.madrid/es/aviso-legal</v>
      </c>
      <c r="D74" s="99" t="s">
        <v>184</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https://elecciones.comunidad.madrid/es/sitemap</v>
      </c>
      <c r="D75" s="99" t="s">
        <v>184</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Declaracion Accesibilidad</v>
      </c>
      <c r="C76" s="85" t="str" cm="1">
        <f t="array" ref="C76">IFERROR(INDEX('03.Muestra'!$F$8:$F$42,SMALL(IF("Página Web"='03.Muestra'!$D$8:$D$42,ROW('03.Muestra'!$F$8:$F$42)-MIN(ROW('03.Muestra'!$D$8:$D$42))+1,""),ROW()-56)),"")</f>
        <v>https://elecciones.comunidad.madrid/es/accesibilidad</v>
      </c>
      <c r="D76" s="99" t="s">
        <v>184</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181</v>
      </c>
      <c r="B94" s="23" t="s">
        <v>173</v>
      </c>
      <c r="C94" s="24" t="s">
        <v>196</v>
      </c>
      <c r="D94" s="25" t="s">
        <v>183</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https://elecciones.comunidad.madrid/es</v>
      </c>
      <c r="D95" s="99" t="s">
        <v>184</v>
      </c>
      <c r="E95" s="79" t="str">
        <f t="shared" ref="E95:E129" si="4">IF(D95&lt;&gt;"",IF(AND(B95&lt;&gt;"",C95&lt;&gt;""),"","ERR"),"")</f>
        <v/>
      </c>
      <c r="F95" s="86" t="s">
        <v>185</v>
      </c>
      <c r="G95" s="87" t="s">
        <v>186</v>
      </c>
      <c r="H95" s="88" t="s">
        <v>184</v>
      </c>
      <c r="I95" s="89" t="s">
        <v>176</v>
      </c>
      <c r="J95" s="90" t="s">
        <v>174</v>
      </c>
      <c r="K95" s="181" t="s">
        <v>180</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Resultado Elecciones 28M 2023</v>
      </c>
      <c r="C96" s="85" t="str" cm="1">
        <f t="array" ref="C96">IFERROR(INDEX('03.Muestra'!$F$8:$F$42,SMALL(IF("Página Web"='03.Muestra'!$D$8:$D$42,ROW('03.Muestra'!$F$8:$F$42)-MIN(ROW('03.Muestra'!$D$8:$D$42))+1,""),ROW()-94)),"")</f>
        <v>https://elecciones.comunidad.madrid/es/resultados-elecciones-asamblea-madrid-28m-2023</v>
      </c>
      <c r="D96" s="99" t="s">
        <v>184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Normativa electoral</v>
      </c>
      <c r="C97" s="85" t="str" cm="1">
        <f t="array" ref="C97">IFERROR(INDEX('03.Muestra'!$F$8:$F$42,SMALL(IF("Página Web"='03.Muestra'!$D$8:$D$42,ROW('03.Muestra'!$F$8:$F$42)-MIN(ROW('03.Muestra'!$D$8:$D$42))+1,""),ROW()-94)),"")</f>
        <v>https://elecciones.comunidad.madrid/es/informacion-electoral/normativa-electoral</v>
      </c>
      <c r="D97" s="99" t="s">
        <v>184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 electoral</v>
      </c>
      <c r="C98" s="85" t="str" cm="1">
        <f t="array" ref="C98">IFERROR(INDEX('03.Muestra'!$F$8:$F$42,SMALL(IF("Página Web"='03.Muestra'!$D$8:$D$42,ROW('03.Muestra'!$F$8:$F$42)-MIN(ROW('03.Muestra'!$D$8:$D$42))+1,""),ROW()-94)),"")</f>
        <v>https://elecciones.comunidad.madrid/es/informacion-electoral/calendario-electoral</v>
      </c>
      <c r="D98" s="99" t="s">
        <v>184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Direcciones y teléfonos</v>
      </c>
      <c r="C99" s="85" t="str" cm="1">
        <f t="array" ref="C99">IFERROR(INDEX('03.Muestra'!$F$8:$F$42,SMALL(IF("Página Web"='03.Muestra'!$D$8:$D$42,ROW('03.Muestra'!$F$8:$F$42)-MIN(ROW('03.Muestra'!$D$8:$D$42))+1,""),ROW()-94)),"")</f>
        <v>https://elecciones.comunidad.madrid/es/juntas-electorales/direcciones-telefonos</v>
      </c>
      <c r="D99" s="99" t="s">
        <v>184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Impresos electrónicos</v>
      </c>
      <c r="C100" s="85" t="str" cm="1">
        <f t="array" ref="C100">IFERROR(INDEX('03.Muestra'!$F$8:$F$42,SMALL(IF("Página Web"='03.Muestra'!$D$8:$D$42,ROW('03.Muestra'!$F$8:$F$42)-MIN(ROW('03.Muestra'!$D$8:$D$42))+1,""),ROW()-94)),"")</f>
        <v>https://elecciones.comunidad.madrid/es/formaciones-politicas/impresos-electronicos</v>
      </c>
      <c r="D100" s="99" t="s">
        <v>184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Listado de candidaturas</v>
      </c>
      <c r="C101" s="85" t="str" cm="1">
        <f t="array" ref="C101">IFERROR(INDEX('03.Muestra'!$F$8:$F$42,SMALL(IF("Página Web"='03.Muestra'!$D$8:$D$42,ROW('03.Muestra'!$F$8:$F$42)-MIN(ROW('03.Muestra'!$D$8:$D$42))+1,""),ROW()-94)),"")</f>
        <v>https://elecciones.comunidad.madrid/es/formaciones-politicas/listado-candidaturas-proclamadas</v>
      </c>
      <c r="D101" s="99" t="s">
        <v>184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Partido Feminista de España</v>
      </c>
      <c r="C102" s="85" t="str" cm="1">
        <f t="array" ref="C102">IFERROR(INDEX('03.Muestra'!$F$8:$F$42,SMALL(IF("Página Web"='03.Muestra'!$D$8:$D$42,ROW('03.Muestra'!$F$8:$F$42)-MIN(ROW('03.Muestra'!$D$8:$D$42))+1,""),ROW()-94)),"")</f>
        <v>https://elecciones.comunidad.madrid/es/formaciones-politicas/listado-candidaturas/partido-feminista-espana</v>
      </c>
      <c r="D102" s="99" t="s">
        <v>184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¿Dónde voto?</v>
      </c>
      <c r="C103" s="85" t="str" cm="1">
        <f t="array" ref="C103">IFERROR(INDEX('03.Muestra'!$F$8:$F$42,SMALL(IF("Página Web"='03.Muestra'!$D$8:$D$42,ROW('03.Muestra'!$F$8:$F$42)-MIN(ROW('03.Muestra'!$D$8:$D$42))+1,""),ROW()-94)),"")</f>
        <v>https://elecciones.comunidad.madrid/es/votar/donde-voto</v>
      </c>
      <c r="D103" s="99" t="s">
        <v>184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Voto presencial</v>
      </c>
      <c r="C104" s="85" t="str" cm="1">
        <f t="array" ref="C104">IFERROR(INDEX('03.Muestra'!$F$8:$F$42,SMALL(IF("Página Web"='03.Muestra'!$D$8:$D$42,ROW('03.Muestra'!$F$8:$F$42)-MIN(ROW('03.Muestra'!$D$8:$D$42))+1,""),ROW()-94)),"")</f>
        <v>https://elecciones.comunidad.madrid/es/voto-local-electoral/voto-presencial</v>
      </c>
      <c r="D104" s="99" t="s">
        <v>184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Ciudadanos temporalmente en el extranjero</v>
      </c>
      <c r="C105" s="85" t="str" cm="1">
        <f t="array" ref="C105">IFERROR(INDEX('03.Muestra'!$F$8:$F$42,SMALL(IF("Página Web"='03.Muestra'!$D$8:$D$42,ROW('03.Muestra'!$F$8:$F$42)-MIN(ROW('03.Muestra'!$D$8:$D$42))+1,""),ROW()-94)),"")</f>
        <v>https://elecciones.comunidad.madrid/es/voto-correo/solicitud-voto-temporalmente-ausentes</v>
      </c>
      <c r="D105" s="99" t="s">
        <v>184</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Nuevo votante</v>
      </c>
      <c r="C106" s="85" t="str" cm="1">
        <f t="array" ref="C106">IFERROR(INDEX('03.Muestra'!$F$8:$F$42,SMALL(IF("Página Web"='03.Muestra'!$D$8:$D$42,ROW('03.Muestra'!$F$8:$F$42)-MIN(ROW('03.Muestra'!$D$8:$D$42))+1,""),ROW()-94)),"")</f>
        <v>https://elecciones.comunidad.madrid/es/votar/nuevo-votante</v>
      </c>
      <c r="D106" s="99" t="s">
        <v>184</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Simulación método D'Hondt</v>
      </c>
      <c r="C107" s="85" t="str" cm="1">
        <f t="array" ref="C107">IFERROR(INDEX('03.Muestra'!$F$8:$F$42,SMALL(IF("Página Web"='03.Muestra'!$D$8:$D$42,ROW('03.Muestra'!$F$8:$F$42)-MIN(ROW('03.Muestra'!$D$8:$D$42))+1,""),ROW()-94)),"")</f>
        <v>https://elecciones.comunidad.madrid/es/informacion-util/simulacion-metodo-dhondt</v>
      </c>
      <c r="D107" s="99" t="s">
        <v>184</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Ley D'Hondt</v>
      </c>
      <c r="C108" s="85" t="str" cm="1">
        <f t="array" ref="C108">IFERROR(INDEX('03.Muestra'!$F$8:$F$42,SMALL(IF("Página Web"='03.Muestra'!$D$8:$D$42,ROW('03.Muestra'!$F$8:$F$42)-MIN(ROW('03.Muestra'!$D$8:$D$42))+1,""),ROW()-94)),"")</f>
        <v>https://elecciones.comunidad.madrid/es/resultados/ley_d_hondt</v>
      </c>
      <c r="D108" s="99" t="s">
        <v>184</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Voto por correo elector CERA en España</v>
      </c>
      <c r="C109" s="85" t="str" cm="1">
        <f t="array" ref="C109">IFERROR(INDEX('03.Muestra'!$F$8:$F$42,SMALL(IF("Página Web"='03.Muestra'!$D$8:$D$42,ROW('03.Muestra'!$F$8:$F$42)-MIN(ROW('03.Muestra'!$D$8:$D$42))+1,""),ROW()-94)),"")</f>
        <v>https://elecciones.comunidad.madrid/es/preguntas-frecuentes/voto-correo-electores-residentes-extranjero</v>
      </c>
      <c r="D109" s="99" t="s">
        <v>184</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https://elecciones.comunidad.madrid/es/buzon-de-sugerencias</v>
      </c>
      <c r="D110" s="99" t="s">
        <v>184</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https://elecciones.comunidad.madrid/es/search?search_api_fulltext=partido</v>
      </c>
      <c r="D111" s="99" t="s">
        <v>184</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Legal-Privacidad</v>
      </c>
      <c r="C112" s="85" t="str" cm="1">
        <f t="array" ref="C112">IFERROR(INDEX('03.Muestra'!$F$8:$F$42,SMALL(IF("Página Web"='03.Muestra'!$D$8:$D$42,ROW('03.Muestra'!$F$8:$F$42)-MIN(ROW('03.Muestra'!$D$8:$D$42))+1,""),ROW()-94)),"")</f>
        <v>https://elecciones.comunidad.madrid/es/aviso-legal</v>
      </c>
      <c r="D112" s="99" t="s">
        <v>184</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https://elecciones.comunidad.madrid/es/sitemap</v>
      </c>
      <c r="D113" s="99" t="s">
        <v>184</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Declaracion Accesibilidad</v>
      </c>
      <c r="C114" s="85" t="str" cm="1">
        <f t="array" ref="C114">IFERROR(INDEX('03.Muestra'!$F$8:$F$42,SMALL(IF("Página Web"='03.Muestra'!$D$8:$D$42,ROW('03.Muestra'!$F$8:$F$42)-MIN(ROW('03.Muestra'!$D$8:$D$42))+1,""),ROW()-94)),"")</f>
        <v>https://elecciones.comunidad.madrid/es/accesibilidad</v>
      </c>
      <c r="D114" s="99" t="s">
        <v>184</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181</v>
      </c>
      <c r="B132" s="23" t="s">
        <v>173</v>
      </c>
      <c r="C132" s="24" t="s">
        <v>197</v>
      </c>
      <c r="D132" s="25" t="s">
        <v>183</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https://elecciones.comunidad.madrid/es</v>
      </c>
      <c r="D133" s="99" t="s">
        <v>184</v>
      </c>
      <c r="E133" s="79" t="str">
        <f t="shared" ref="E133:E167" si="6">IF(D133&lt;&gt;"",IF(AND(B133&lt;&gt;"",C133&lt;&gt;""),"","ERR"),"")</f>
        <v/>
      </c>
      <c r="F133" s="86" t="s">
        <v>185</v>
      </c>
      <c r="G133" s="87" t="s">
        <v>186</v>
      </c>
      <c r="H133" s="88" t="s">
        <v>184</v>
      </c>
      <c r="I133" s="89" t="s">
        <v>176</v>
      </c>
      <c r="J133" s="90" t="s">
        <v>174</v>
      </c>
      <c r="K133" s="181" t="s">
        <v>180</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Resultado Elecciones 28M 2023</v>
      </c>
      <c r="C134" s="85" t="str" cm="1">
        <f t="array" ref="C134">IFERROR(INDEX('03.Muestra'!$F$8:$F$42,SMALL(IF("Página Web"='03.Muestra'!$D$8:$D$42,ROW('03.Muestra'!$F$8:$F$42)-MIN(ROW('03.Muestra'!$D$8:$D$42))+1,""),ROW()-132)),"")</f>
        <v>https://elecciones.comunidad.madrid/es/resultados-elecciones-asamblea-madrid-28m-2023</v>
      </c>
      <c r="D134" s="99" t="s">
        <v>184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Normativa electoral</v>
      </c>
      <c r="C135" s="85" t="str" cm="1">
        <f t="array" ref="C135">IFERROR(INDEX('03.Muestra'!$F$8:$F$42,SMALL(IF("Página Web"='03.Muestra'!$D$8:$D$42,ROW('03.Muestra'!$F$8:$F$42)-MIN(ROW('03.Muestra'!$D$8:$D$42))+1,""),ROW()-132)),"")</f>
        <v>https://elecciones.comunidad.madrid/es/informacion-electoral/normativa-electoral</v>
      </c>
      <c r="D135" s="99" t="s">
        <v>184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 electoral</v>
      </c>
      <c r="C136" s="85" t="str" cm="1">
        <f t="array" ref="C136">IFERROR(INDEX('03.Muestra'!$F$8:$F$42,SMALL(IF("Página Web"='03.Muestra'!$D$8:$D$42,ROW('03.Muestra'!$F$8:$F$42)-MIN(ROW('03.Muestra'!$D$8:$D$42))+1,""),ROW()-132)),"")</f>
        <v>https://elecciones.comunidad.madrid/es/informacion-electoral/calendario-electoral</v>
      </c>
      <c r="D136" s="99" t="s">
        <v>184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Direcciones y teléfonos</v>
      </c>
      <c r="C137" s="85" t="str" cm="1">
        <f t="array" ref="C137">IFERROR(INDEX('03.Muestra'!$F$8:$F$42,SMALL(IF("Página Web"='03.Muestra'!$D$8:$D$42,ROW('03.Muestra'!$F$8:$F$42)-MIN(ROW('03.Muestra'!$D$8:$D$42))+1,""),ROW()-132)),"")</f>
        <v>https://elecciones.comunidad.madrid/es/juntas-electorales/direcciones-telefonos</v>
      </c>
      <c r="D137" s="99" t="s">
        <v>184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Impresos electrónicos</v>
      </c>
      <c r="C138" s="85" t="str" cm="1">
        <f t="array" ref="C138">IFERROR(INDEX('03.Muestra'!$F$8:$F$42,SMALL(IF("Página Web"='03.Muestra'!$D$8:$D$42,ROW('03.Muestra'!$F$8:$F$42)-MIN(ROW('03.Muestra'!$D$8:$D$42))+1,""),ROW()-132)),"")</f>
        <v>https://elecciones.comunidad.madrid/es/formaciones-politicas/impresos-electronicos</v>
      </c>
      <c r="D138" s="99" t="s">
        <v>184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Listado de candidaturas</v>
      </c>
      <c r="C139" s="85" t="str" cm="1">
        <f t="array" ref="C139">IFERROR(INDEX('03.Muestra'!$F$8:$F$42,SMALL(IF("Página Web"='03.Muestra'!$D$8:$D$42,ROW('03.Muestra'!$F$8:$F$42)-MIN(ROW('03.Muestra'!$D$8:$D$42))+1,""),ROW()-132)),"")</f>
        <v>https://elecciones.comunidad.madrid/es/formaciones-politicas/listado-candidaturas-proclamadas</v>
      </c>
      <c r="D139" s="99" t="s">
        <v>184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Partido Feminista de España</v>
      </c>
      <c r="C140" s="85" t="str" cm="1">
        <f t="array" ref="C140">IFERROR(INDEX('03.Muestra'!$F$8:$F$42,SMALL(IF("Página Web"='03.Muestra'!$D$8:$D$42,ROW('03.Muestra'!$F$8:$F$42)-MIN(ROW('03.Muestra'!$D$8:$D$42))+1,""),ROW()-132)),"")</f>
        <v>https://elecciones.comunidad.madrid/es/formaciones-politicas/listado-candidaturas/partido-feminista-espana</v>
      </c>
      <c r="D140" s="99" t="s">
        <v>184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¿Dónde voto?</v>
      </c>
      <c r="C141" s="85" t="str" cm="1">
        <f t="array" ref="C141">IFERROR(INDEX('03.Muestra'!$F$8:$F$42,SMALL(IF("Página Web"='03.Muestra'!$D$8:$D$42,ROW('03.Muestra'!$F$8:$F$42)-MIN(ROW('03.Muestra'!$D$8:$D$42))+1,""),ROW()-132)),"")</f>
        <v>https://elecciones.comunidad.madrid/es/votar/donde-voto</v>
      </c>
      <c r="D141" s="99" t="s">
        <v>184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Voto presencial</v>
      </c>
      <c r="C142" s="85" t="str" cm="1">
        <f t="array" ref="C142">IFERROR(INDEX('03.Muestra'!$F$8:$F$42,SMALL(IF("Página Web"='03.Muestra'!$D$8:$D$42,ROW('03.Muestra'!$F$8:$F$42)-MIN(ROW('03.Muestra'!$D$8:$D$42))+1,""),ROW()-132)),"")</f>
        <v>https://elecciones.comunidad.madrid/es/voto-local-electoral/voto-presencial</v>
      </c>
      <c r="D142" s="99" t="s">
        <v>184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Ciudadanos temporalmente en el extranjero</v>
      </c>
      <c r="C143" s="85" t="str" cm="1">
        <f t="array" ref="C143">IFERROR(INDEX('03.Muestra'!$F$8:$F$42,SMALL(IF("Página Web"='03.Muestra'!$D$8:$D$42,ROW('03.Muestra'!$F$8:$F$42)-MIN(ROW('03.Muestra'!$D$8:$D$42))+1,""),ROW()-132)),"")</f>
        <v>https://elecciones.comunidad.madrid/es/voto-correo/solicitud-voto-temporalmente-ausentes</v>
      </c>
      <c r="D143" s="99" t="s">
        <v>184</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Nuevo votante</v>
      </c>
      <c r="C144" s="85" t="str" cm="1">
        <f t="array" ref="C144">IFERROR(INDEX('03.Muestra'!$F$8:$F$42,SMALL(IF("Página Web"='03.Muestra'!$D$8:$D$42,ROW('03.Muestra'!$F$8:$F$42)-MIN(ROW('03.Muestra'!$D$8:$D$42))+1,""),ROW()-132)),"")</f>
        <v>https://elecciones.comunidad.madrid/es/votar/nuevo-votante</v>
      </c>
      <c r="D144" s="99" t="s">
        <v>184</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Simulación método D'Hondt</v>
      </c>
      <c r="C145" s="85" t="str" cm="1">
        <f t="array" ref="C145">IFERROR(INDEX('03.Muestra'!$F$8:$F$42,SMALL(IF("Página Web"='03.Muestra'!$D$8:$D$42,ROW('03.Muestra'!$F$8:$F$42)-MIN(ROW('03.Muestra'!$D$8:$D$42))+1,""),ROW()-132)),"")</f>
        <v>https://elecciones.comunidad.madrid/es/informacion-util/simulacion-metodo-dhondt</v>
      </c>
      <c r="D145" s="99" t="s">
        <v>184</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Ley D'Hondt</v>
      </c>
      <c r="C146" s="85" t="str" cm="1">
        <f t="array" ref="C146">IFERROR(INDEX('03.Muestra'!$F$8:$F$42,SMALL(IF("Página Web"='03.Muestra'!$D$8:$D$42,ROW('03.Muestra'!$F$8:$F$42)-MIN(ROW('03.Muestra'!$D$8:$D$42))+1,""),ROW()-132)),"")</f>
        <v>https://elecciones.comunidad.madrid/es/resultados/ley_d_hondt</v>
      </c>
      <c r="D146" s="99" t="s">
        <v>184</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Voto por correo elector CERA en España</v>
      </c>
      <c r="C147" s="85" t="str" cm="1">
        <f t="array" ref="C147">IFERROR(INDEX('03.Muestra'!$F$8:$F$42,SMALL(IF("Página Web"='03.Muestra'!$D$8:$D$42,ROW('03.Muestra'!$F$8:$F$42)-MIN(ROW('03.Muestra'!$D$8:$D$42))+1,""),ROW()-132)),"")</f>
        <v>https://elecciones.comunidad.madrid/es/preguntas-frecuentes/voto-correo-electores-residentes-extranjero</v>
      </c>
      <c r="D147" s="99" t="s">
        <v>184</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https://elecciones.comunidad.madrid/es/buzon-de-sugerencias</v>
      </c>
      <c r="D148" s="99" t="s">
        <v>184</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https://elecciones.comunidad.madrid/es/search?search_api_fulltext=partido</v>
      </c>
      <c r="D149" s="99" t="s">
        <v>184</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Legal-Privacidad</v>
      </c>
      <c r="C150" s="85" t="str" cm="1">
        <f t="array" ref="C150">IFERROR(INDEX('03.Muestra'!$F$8:$F$42,SMALL(IF("Página Web"='03.Muestra'!$D$8:$D$42,ROW('03.Muestra'!$F$8:$F$42)-MIN(ROW('03.Muestra'!$D$8:$D$42))+1,""),ROW()-132)),"")</f>
        <v>https://elecciones.comunidad.madrid/es/aviso-legal</v>
      </c>
      <c r="D150" s="99" t="s">
        <v>184</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https://elecciones.comunidad.madrid/es/sitemap</v>
      </c>
      <c r="D151" s="99" t="s">
        <v>184</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Declaracion Accesibilidad</v>
      </c>
      <c r="C152" s="85" t="str" cm="1">
        <f t="array" ref="C152">IFERROR(INDEX('03.Muestra'!$F$8:$F$42,SMALL(IF("Página Web"='03.Muestra'!$D$8:$D$42,ROW('03.Muestra'!$F$8:$F$42)-MIN(ROW('03.Muestra'!$D$8:$D$42))+1,""),ROW()-132)),"")</f>
        <v>https://elecciones.comunidad.madrid/es/accesibilidad</v>
      </c>
      <c r="D152" s="99" t="s">
        <v>184</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181</v>
      </c>
      <c r="B170" s="23" t="s">
        <v>173</v>
      </c>
      <c r="C170" s="24" t="s">
        <v>198</v>
      </c>
      <c r="D170" s="25" t="s">
        <v>183</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https://elecciones.comunidad.madrid/es</v>
      </c>
      <c r="D171" s="99" t="s">
        <v>184</v>
      </c>
      <c r="E171" s="79" t="str">
        <f t="shared" ref="E171:E205" si="8">IF(D171&lt;&gt;"",IF(AND(B171&lt;&gt;"",C171&lt;&gt;""),"","ERR"),"")</f>
        <v/>
      </c>
      <c r="F171" s="86" t="s">
        <v>185</v>
      </c>
      <c r="G171" s="87" t="s">
        <v>186</v>
      </c>
      <c r="H171" s="88" t="s">
        <v>184</v>
      </c>
      <c r="I171" s="89" t="s">
        <v>176</v>
      </c>
      <c r="J171" s="90" t="s">
        <v>174</v>
      </c>
      <c r="K171" s="181" t="s">
        <v>180</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Resultado Elecciones 28M 2023</v>
      </c>
      <c r="C172" s="85" t="str" cm="1">
        <f t="array" ref="C172">IFERROR(INDEX('03.Muestra'!$F$8:$F$42,SMALL(IF("Página Web"='03.Muestra'!$D$8:$D$42,ROW('03.Muestra'!$F$8:$F$42)-MIN(ROW('03.Muestra'!$D$8:$D$42))+1,""),ROW()-170)),"")</f>
        <v>https://elecciones.comunidad.madrid/es/resultados-elecciones-asamblea-madrid-28m-2023</v>
      </c>
      <c r="D172" s="99" t="s">
        <v>184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Normativa electoral</v>
      </c>
      <c r="C173" s="85" t="str" cm="1">
        <f t="array" ref="C173">IFERROR(INDEX('03.Muestra'!$F$8:$F$42,SMALL(IF("Página Web"='03.Muestra'!$D$8:$D$42,ROW('03.Muestra'!$F$8:$F$42)-MIN(ROW('03.Muestra'!$D$8:$D$42))+1,""),ROW()-170)),"")</f>
        <v>https://elecciones.comunidad.madrid/es/informacion-electoral/normativa-electoral</v>
      </c>
      <c r="D173" s="99" t="s">
        <v>184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 electoral</v>
      </c>
      <c r="C174" s="85" t="str" cm="1">
        <f t="array" ref="C174">IFERROR(INDEX('03.Muestra'!$F$8:$F$42,SMALL(IF("Página Web"='03.Muestra'!$D$8:$D$42,ROW('03.Muestra'!$F$8:$F$42)-MIN(ROW('03.Muestra'!$D$8:$D$42))+1,""),ROW()-170)),"")</f>
        <v>https://elecciones.comunidad.madrid/es/informacion-electoral/calendario-electoral</v>
      </c>
      <c r="D174" s="99" t="s">
        <v>184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Direcciones y teléfonos</v>
      </c>
      <c r="C175" s="85" t="str" cm="1">
        <f t="array" ref="C175">IFERROR(INDEX('03.Muestra'!$F$8:$F$42,SMALL(IF("Página Web"='03.Muestra'!$D$8:$D$42,ROW('03.Muestra'!$F$8:$F$42)-MIN(ROW('03.Muestra'!$D$8:$D$42))+1,""),ROW()-170)),"")</f>
        <v>https://elecciones.comunidad.madrid/es/juntas-electorales/direcciones-telefonos</v>
      </c>
      <c r="D175" s="99" t="s">
        <v>184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Impresos electrónicos</v>
      </c>
      <c r="C176" s="85" t="str" cm="1">
        <f t="array" ref="C176">IFERROR(INDEX('03.Muestra'!$F$8:$F$42,SMALL(IF("Página Web"='03.Muestra'!$D$8:$D$42,ROW('03.Muestra'!$F$8:$F$42)-MIN(ROW('03.Muestra'!$D$8:$D$42))+1,""),ROW()-170)),"")</f>
        <v>https://elecciones.comunidad.madrid/es/formaciones-politicas/impresos-electronicos</v>
      </c>
      <c r="D176" s="99" t="s">
        <v>184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Listado de candidaturas</v>
      </c>
      <c r="C177" s="85" t="str" cm="1">
        <f t="array" ref="C177">IFERROR(INDEX('03.Muestra'!$F$8:$F$42,SMALL(IF("Página Web"='03.Muestra'!$D$8:$D$42,ROW('03.Muestra'!$F$8:$F$42)-MIN(ROW('03.Muestra'!$D$8:$D$42))+1,""),ROW()-170)),"")</f>
        <v>https://elecciones.comunidad.madrid/es/formaciones-politicas/listado-candidaturas-proclamadas</v>
      </c>
      <c r="D177" s="99" t="s">
        <v>184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Partido Feminista de España</v>
      </c>
      <c r="C178" s="85" t="str" cm="1">
        <f t="array" ref="C178">IFERROR(INDEX('03.Muestra'!$F$8:$F$42,SMALL(IF("Página Web"='03.Muestra'!$D$8:$D$42,ROW('03.Muestra'!$F$8:$F$42)-MIN(ROW('03.Muestra'!$D$8:$D$42))+1,""),ROW()-170)),"")</f>
        <v>https://elecciones.comunidad.madrid/es/formaciones-politicas/listado-candidaturas/partido-feminista-espana</v>
      </c>
      <c r="D178" s="99" t="s">
        <v>184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¿Dónde voto?</v>
      </c>
      <c r="C179" s="85" t="str" cm="1">
        <f t="array" ref="C179">IFERROR(INDEX('03.Muestra'!$F$8:$F$42,SMALL(IF("Página Web"='03.Muestra'!$D$8:$D$42,ROW('03.Muestra'!$F$8:$F$42)-MIN(ROW('03.Muestra'!$D$8:$D$42))+1,""),ROW()-170)),"")</f>
        <v>https://elecciones.comunidad.madrid/es/votar/donde-voto</v>
      </c>
      <c r="D179" s="99" t="s">
        <v>184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Voto presencial</v>
      </c>
      <c r="C180" s="85" t="str" cm="1">
        <f t="array" ref="C180">IFERROR(INDEX('03.Muestra'!$F$8:$F$42,SMALL(IF("Página Web"='03.Muestra'!$D$8:$D$42,ROW('03.Muestra'!$F$8:$F$42)-MIN(ROW('03.Muestra'!$D$8:$D$42))+1,""),ROW()-170)),"")</f>
        <v>https://elecciones.comunidad.madrid/es/voto-local-electoral/voto-presencial</v>
      </c>
      <c r="D180" s="99" t="s">
        <v>184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Ciudadanos temporalmente en el extranjero</v>
      </c>
      <c r="C181" s="85" t="str" cm="1">
        <f t="array" ref="C181">IFERROR(INDEX('03.Muestra'!$F$8:$F$42,SMALL(IF("Página Web"='03.Muestra'!$D$8:$D$42,ROW('03.Muestra'!$F$8:$F$42)-MIN(ROW('03.Muestra'!$D$8:$D$42))+1,""),ROW()-170)),"")</f>
        <v>https://elecciones.comunidad.madrid/es/voto-correo/solicitud-voto-temporalmente-ausentes</v>
      </c>
      <c r="D181" s="99" t="s">
        <v>184</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Nuevo votante</v>
      </c>
      <c r="C182" s="85" t="str" cm="1">
        <f t="array" ref="C182">IFERROR(INDEX('03.Muestra'!$F$8:$F$42,SMALL(IF("Página Web"='03.Muestra'!$D$8:$D$42,ROW('03.Muestra'!$F$8:$F$42)-MIN(ROW('03.Muestra'!$D$8:$D$42))+1,""),ROW()-170)),"")</f>
        <v>https://elecciones.comunidad.madrid/es/votar/nuevo-votante</v>
      </c>
      <c r="D182" s="99" t="s">
        <v>184</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Simulación método D'Hondt</v>
      </c>
      <c r="C183" s="85" t="str" cm="1">
        <f t="array" ref="C183">IFERROR(INDEX('03.Muestra'!$F$8:$F$42,SMALL(IF("Página Web"='03.Muestra'!$D$8:$D$42,ROW('03.Muestra'!$F$8:$F$42)-MIN(ROW('03.Muestra'!$D$8:$D$42))+1,""),ROW()-170)),"")</f>
        <v>https://elecciones.comunidad.madrid/es/informacion-util/simulacion-metodo-dhondt</v>
      </c>
      <c r="D183" s="99" t="s">
        <v>184</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Ley D'Hondt</v>
      </c>
      <c r="C184" s="85" t="str" cm="1">
        <f t="array" ref="C184">IFERROR(INDEX('03.Muestra'!$F$8:$F$42,SMALL(IF("Página Web"='03.Muestra'!$D$8:$D$42,ROW('03.Muestra'!$F$8:$F$42)-MIN(ROW('03.Muestra'!$D$8:$D$42))+1,""),ROW()-170)),"")</f>
        <v>https://elecciones.comunidad.madrid/es/resultados/ley_d_hondt</v>
      </c>
      <c r="D184" s="99" t="s">
        <v>184</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Voto por correo elector CERA en España</v>
      </c>
      <c r="C185" s="85" t="str" cm="1">
        <f t="array" ref="C185">IFERROR(INDEX('03.Muestra'!$F$8:$F$42,SMALL(IF("Página Web"='03.Muestra'!$D$8:$D$42,ROW('03.Muestra'!$F$8:$F$42)-MIN(ROW('03.Muestra'!$D$8:$D$42))+1,""),ROW()-170)),"")</f>
        <v>https://elecciones.comunidad.madrid/es/preguntas-frecuentes/voto-correo-electores-residentes-extranjero</v>
      </c>
      <c r="D185" s="99" t="s">
        <v>184</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https://elecciones.comunidad.madrid/es/buzon-de-sugerencias</v>
      </c>
      <c r="D186" s="99" t="s">
        <v>184</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https://elecciones.comunidad.madrid/es/search?search_api_fulltext=partido</v>
      </c>
      <c r="D187" s="99" t="s">
        <v>184</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Legal-Privacidad</v>
      </c>
      <c r="C188" s="85" t="str" cm="1">
        <f t="array" ref="C188">IFERROR(INDEX('03.Muestra'!$F$8:$F$42,SMALL(IF("Página Web"='03.Muestra'!$D$8:$D$42,ROW('03.Muestra'!$F$8:$F$42)-MIN(ROW('03.Muestra'!$D$8:$D$42))+1,""),ROW()-170)),"")</f>
        <v>https://elecciones.comunidad.madrid/es/aviso-legal</v>
      </c>
      <c r="D188" s="99" t="s">
        <v>184</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https://elecciones.comunidad.madrid/es/sitemap</v>
      </c>
      <c r="D189" s="99" t="s">
        <v>184</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Declaracion Accesibilidad</v>
      </c>
      <c r="C190" s="85" t="str" cm="1">
        <f t="array" ref="C190">IFERROR(INDEX('03.Muestra'!$F$8:$F$42,SMALL(IF("Página Web"='03.Muestra'!$D$8:$D$42,ROW('03.Muestra'!$F$8:$F$42)-MIN(ROW('03.Muestra'!$D$8:$D$42))+1,""),ROW()-170)),"")</f>
        <v>https://elecciones.comunidad.madrid/es/accesibilidad</v>
      </c>
      <c r="D190" s="99" t="s">
        <v>184</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181</v>
      </c>
      <c r="B208" s="23" t="s">
        <v>173</v>
      </c>
      <c r="C208" s="172" t="s">
        <v>199</v>
      </c>
      <c r="D208" s="25" t="s">
        <v>183</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https://elecciones.comunidad.madrid/es</v>
      </c>
      <c r="D209" s="99" t="s">
        <v>184</v>
      </c>
      <c r="E209" s="79" t="str">
        <f t="shared" ref="E209:E243" si="10">IF(D209&lt;&gt;"",IF(AND(B209&lt;&gt;"",C209&lt;&gt;""),"","ERR"),"")</f>
        <v/>
      </c>
      <c r="F209" s="86" t="s">
        <v>185</v>
      </c>
      <c r="G209" s="87" t="s">
        <v>186</v>
      </c>
      <c r="H209" s="88" t="s">
        <v>184</v>
      </c>
      <c r="I209" s="89" t="s">
        <v>176</v>
      </c>
      <c r="J209" s="90" t="s">
        <v>174</v>
      </c>
      <c r="K209" s="181" t="s">
        <v>180</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Resultado Elecciones 28M 2023</v>
      </c>
      <c r="C210" s="85" t="str" cm="1">
        <f t="array" ref="C210">IFERROR(INDEX('03.Muestra'!$F$8:$F$42,SMALL(IF("Página Web"='03.Muestra'!$D$8:$D$42,ROW('03.Muestra'!$F$8:$F$42)-MIN(ROW('03.Muestra'!$D$8:$D$42))+1,""),ROW()-208)),"")</f>
        <v>https://elecciones.comunidad.madrid/es/resultados-elecciones-asamblea-madrid-28m-2023</v>
      </c>
      <c r="D210" s="99" t="s">
        <v>184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Normativa electoral</v>
      </c>
      <c r="C211" s="85" t="str" cm="1">
        <f t="array" ref="C211">IFERROR(INDEX('03.Muestra'!$F$8:$F$42,SMALL(IF("Página Web"='03.Muestra'!$D$8:$D$42,ROW('03.Muestra'!$F$8:$F$42)-MIN(ROW('03.Muestra'!$D$8:$D$42))+1,""),ROW()-208)),"")</f>
        <v>https://elecciones.comunidad.madrid/es/informacion-electoral/normativa-electoral</v>
      </c>
      <c r="D211" s="99" t="s">
        <v>184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Calendario electoral</v>
      </c>
      <c r="C212" s="85" t="str" cm="1">
        <f t="array" ref="C212">IFERROR(INDEX('03.Muestra'!$F$8:$F$42,SMALL(IF("Página Web"='03.Muestra'!$D$8:$D$42,ROW('03.Muestra'!$F$8:$F$42)-MIN(ROW('03.Muestra'!$D$8:$D$42))+1,""),ROW()-208)),"")</f>
        <v>https://elecciones.comunidad.madrid/es/informacion-electoral/calendario-electoral</v>
      </c>
      <c r="D212" s="99" t="s">
        <v>184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Direcciones y teléfonos</v>
      </c>
      <c r="C213" s="85" t="str" cm="1">
        <f t="array" ref="C213">IFERROR(INDEX('03.Muestra'!$F$8:$F$42,SMALL(IF("Página Web"='03.Muestra'!$D$8:$D$42,ROW('03.Muestra'!$F$8:$F$42)-MIN(ROW('03.Muestra'!$D$8:$D$42))+1,""),ROW()-208)),"")</f>
        <v>https://elecciones.comunidad.madrid/es/juntas-electorales/direcciones-telefonos</v>
      </c>
      <c r="D213" s="99" t="s">
        <v>184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Impresos electrónicos</v>
      </c>
      <c r="C214" s="85" t="str" cm="1">
        <f t="array" ref="C214">IFERROR(INDEX('03.Muestra'!$F$8:$F$42,SMALL(IF("Página Web"='03.Muestra'!$D$8:$D$42,ROW('03.Muestra'!$F$8:$F$42)-MIN(ROW('03.Muestra'!$D$8:$D$42))+1,""),ROW()-208)),"")</f>
        <v>https://elecciones.comunidad.madrid/es/formaciones-politicas/impresos-electronicos</v>
      </c>
      <c r="D214" s="99" t="s">
        <v>184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Listado de candidaturas</v>
      </c>
      <c r="C215" s="85" t="str" cm="1">
        <f t="array" ref="C215">IFERROR(INDEX('03.Muestra'!$F$8:$F$42,SMALL(IF("Página Web"='03.Muestra'!$D$8:$D$42,ROW('03.Muestra'!$F$8:$F$42)-MIN(ROW('03.Muestra'!$D$8:$D$42))+1,""),ROW()-208)),"")</f>
        <v>https://elecciones.comunidad.madrid/es/formaciones-politicas/listado-candidaturas-proclamadas</v>
      </c>
      <c r="D215" s="99" t="s">
        <v>184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Partido Feminista de España</v>
      </c>
      <c r="C216" s="85" t="str" cm="1">
        <f t="array" ref="C216">IFERROR(INDEX('03.Muestra'!$F$8:$F$42,SMALL(IF("Página Web"='03.Muestra'!$D$8:$D$42,ROW('03.Muestra'!$F$8:$F$42)-MIN(ROW('03.Muestra'!$D$8:$D$42))+1,""),ROW()-208)),"")</f>
        <v>https://elecciones.comunidad.madrid/es/formaciones-politicas/listado-candidaturas/partido-feminista-espana</v>
      </c>
      <c r="D216" s="99" t="s">
        <v>184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¿Dónde voto?</v>
      </c>
      <c r="C217" s="85" t="str" cm="1">
        <f t="array" ref="C217">IFERROR(INDEX('03.Muestra'!$F$8:$F$42,SMALL(IF("Página Web"='03.Muestra'!$D$8:$D$42,ROW('03.Muestra'!$F$8:$F$42)-MIN(ROW('03.Muestra'!$D$8:$D$42))+1,""),ROW()-208)),"")</f>
        <v>https://elecciones.comunidad.madrid/es/votar/donde-voto</v>
      </c>
      <c r="D217" s="99" t="s">
        <v>184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Voto presencial</v>
      </c>
      <c r="C218" s="85" t="str" cm="1">
        <f t="array" ref="C218">IFERROR(INDEX('03.Muestra'!$F$8:$F$42,SMALL(IF("Página Web"='03.Muestra'!$D$8:$D$42,ROW('03.Muestra'!$F$8:$F$42)-MIN(ROW('03.Muestra'!$D$8:$D$42))+1,""),ROW()-208)),"")</f>
        <v>https://elecciones.comunidad.madrid/es/voto-local-electoral/voto-presencial</v>
      </c>
      <c r="D218" s="99" t="s">
        <v>184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Ciudadanos temporalmente en el extranjero</v>
      </c>
      <c r="C219" s="85" t="str" cm="1">
        <f t="array" ref="C219">IFERROR(INDEX('03.Muestra'!$F$8:$F$42,SMALL(IF("Página Web"='03.Muestra'!$D$8:$D$42,ROW('03.Muestra'!$F$8:$F$42)-MIN(ROW('03.Muestra'!$D$8:$D$42))+1,""),ROW()-208)),"")</f>
        <v>https://elecciones.comunidad.madrid/es/voto-correo/solicitud-voto-temporalmente-ausentes</v>
      </c>
      <c r="D219" s="99" t="s">
        <v>184</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Nuevo votante</v>
      </c>
      <c r="C220" s="85" t="str" cm="1">
        <f t="array" ref="C220">IFERROR(INDEX('03.Muestra'!$F$8:$F$42,SMALL(IF("Página Web"='03.Muestra'!$D$8:$D$42,ROW('03.Muestra'!$F$8:$F$42)-MIN(ROW('03.Muestra'!$D$8:$D$42))+1,""),ROW()-208)),"")</f>
        <v>https://elecciones.comunidad.madrid/es/votar/nuevo-votante</v>
      </c>
      <c r="D220" s="99" t="s">
        <v>184</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Simulación método D'Hondt</v>
      </c>
      <c r="C221" s="85" t="str" cm="1">
        <f t="array" ref="C221">IFERROR(INDEX('03.Muestra'!$F$8:$F$42,SMALL(IF("Página Web"='03.Muestra'!$D$8:$D$42,ROW('03.Muestra'!$F$8:$F$42)-MIN(ROW('03.Muestra'!$D$8:$D$42))+1,""),ROW()-208)),"")</f>
        <v>https://elecciones.comunidad.madrid/es/informacion-util/simulacion-metodo-dhondt</v>
      </c>
      <c r="D221" s="99" t="s">
        <v>184</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Ley D'Hondt</v>
      </c>
      <c r="C222" s="85" t="str" cm="1">
        <f t="array" ref="C222">IFERROR(INDEX('03.Muestra'!$F$8:$F$42,SMALL(IF("Página Web"='03.Muestra'!$D$8:$D$42,ROW('03.Muestra'!$F$8:$F$42)-MIN(ROW('03.Muestra'!$D$8:$D$42))+1,""),ROW()-208)),"")</f>
        <v>https://elecciones.comunidad.madrid/es/resultados/ley_d_hondt</v>
      </c>
      <c r="D222" s="99" t="s">
        <v>184</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Voto por correo elector CERA en España</v>
      </c>
      <c r="C223" s="85" t="str" cm="1">
        <f t="array" ref="C223">IFERROR(INDEX('03.Muestra'!$F$8:$F$42,SMALL(IF("Página Web"='03.Muestra'!$D$8:$D$42,ROW('03.Muestra'!$F$8:$F$42)-MIN(ROW('03.Muestra'!$D$8:$D$42))+1,""),ROW()-208)),"")</f>
        <v>https://elecciones.comunidad.madrid/es/preguntas-frecuentes/voto-correo-electores-residentes-extranjero</v>
      </c>
      <c r="D223" s="99" t="s">
        <v>184</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https://elecciones.comunidad.madrid/es/buzon-de-sugerencias</v>
      </c>
      <c r="D224" s="99" t="s">
        <v>184</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Buscador</v>
      </c>
      <c r="C225" s="85" t="str" cm="1">
        <f t="array" ref="C225">IFERROR(INDEX('03.Muestra'!$F$8:$F$42,SMALL(IF("Página Web"='03.Muestra'!$D$8:$D$42,ROW('03.Muestra'!$F$8:$F$42)-MIN(ROW('03.Muestra'!$D$8:$D$42))+1,""),ROW()-208)),"")</f>
        <v>https://elecciones.comunidad.madrid/es/search?search_api_fulltext=partido</v>
      </c>
      <c r="D225" s="99" t="s">
        <v>184</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Legal-Privacidad</v>
      </c>
      <c r="C226" s="85" t="str" cm="1">
        <f t="array" ref="C226">IFERROR(INDEX('03.Muestra'!$F$8:$F$42,SMALL(IF("Página Web"='03.Muestra'!$D$8:$D$42,ROW('03.Muestra'!$F$8:$F$42)-MIN(ROW('03.Muestra'!$D$8:$D$42))+1,""),ROW()-208)),"")</f>
        <v>https://elecciones.comunidad.madrid/es/aviso-legal</v>
      </c>
      <c r="D226" s="99" t="s">
        <v>184</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https://elecciones.comunidad.madrid/es/sitemap</v>
      </c>
      <c r="D227" s="99" t="s">
        <v>184</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Declaracion Accesibilidad</v>
      </c>
      <c r="C228" s="85" t="str" cm="1">
        <f t="array" ref="C228">IFERROR(INDEX('03.Muestra'!$F$8:$F$42,SMALL(IF("Página Web"='03.Muestra'!$D$8:$D$42,ROW('03.Muestra'!$F$8:$F$42)-MIN(ROW('03.Muestra'!$D$8:$D$42))+1,""),ROW()-208)),"")</f>
        <v>https://elecciones.comunidad.madrid/es/accesibilidad</v>
      </c>
      <c r="D228" s="99" t="s">
        <v>184</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181</v>
      </c>
      <c r="B246" s="23" t="s">
        <v>173</v>
      </c>
      <c r="C246" s="172" t="s">
        <v>200</v>
      </c>
      <c r="D246" s="25" t="s">
        <v>183</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https://elecciones.comunidad.madrid/es</v>
      </c>
      <c r="D247" s="99" t="s">
        <v>184</v>
      </c>
      <c r="E247" s="79" t="str">
        <f t="shared" ref="E247:E281" si="12">IF(D247&lt;&gt;"",IF(AND(B247&lt;&gt;"",C247&lt;&gt;""),"","ERR"),"")</f>
        <v/>
      </c>
      <c r="F247" s="86" t="s">
        <v>185</v>
      </c>
      <c r="G247" s="87" t="s">
        <v>186</v>
      </c>
      <c r="H247" s="88" t="s">
        <v>184</v>
      </c>
      <c r="I247" s="89" t="s">
        <v>176</v>
      </c>
      <c r="J247" s="90" t="s">
        <v>174</v>
      </c>
      <c r="K247" s="181" t="s">
        <v>180</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Resultado Elecciones 28M 2023</v>
      </c>
      <c r="C248" s="85" t="str" cm="1">
        <f t="array" ref="C248">IFERROR(INDEX('03.Muestra'!$F$8:$F$42,SMALL(IF("Página Web"='03.Muestra'!$D$8:$D$42,ROW('03.Muestra'!$F$8:$F$42)-MIN(ROW('03.Muestra'!$D$8:$D$42))+1,""),ROW()-246)),"")</f>
        <v>https://elecciones.comunidad.madrid/es/resultados-elecciones-asamblea-madrid-28m-2023</v>
      </c>
      <c r="D248" s="99" t="s">
        <v>184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Normativa electoral</v>
      </c>
      <c r="C249" s="85" t="str" cm="1">
        <f t="array" ref="C249">IFERROR(INDEX('03.Muestra'!$F$8:$F$42,SMALL(IF("Página Web"='03.Muestra'!$D$8:$D$42,ROW('03.Muestra'!$F$8:$F$42)-MIN(ROW('03.Muestra'!$D$8:$D$42))+1,""),ROW()-246)),"")</f>
        <v>https://elecciones.comunidad.madrid/es/informacion-electoral/normativa-electoral</v>
      </c>
      <c r="D249" s="99" t="s">
        <v>184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Calendario electoral</v>
      </c>
      <c r="C250" s="85" t="str" cm="1">
        <f t="array" ref="C250">IFERROR(INDEX('03.Muestra'!$F$8:$F$42,SMALL(IF("Página Web"='03.Muestra'!$D$8:$D$42,ROW('03.Muestra'!$F$8:$F$42)-MIN(ROW('03.Muestra'!$D$8:$D$42))+1,""),ROW()-246)),"")</f>
        <v>https://elecciones.comunidad.madrid/es/informacion-electoral/calendario-electoral</v>
      </c>
      <c r="D250" s="99" t="s">
        <v>184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Direcciones y teléfonos</v>
      </c>
      <c r="C251" s="85" t="str" cm="1">
        <f t="array" ref="C251">IFERROR(INDEX('03.Muestra'!$F$8:$F$42,SMALL(IF("Página Web"='03.Muestra'!$D$8:$D$42,ROW('03.Muestra'!$F$8:$F$42)-MIN(ROW('03.Muestra'!$D$8:$D$42))+1,""),ROW()-246)),"")</f>
        <v>https://elecciones.comunidad.madrid/es/juntas-electorales/direcciones-telefonos</v>
      </c>
      <c r="D251" s="99" t="s">
        <v>184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Impresos electrónicos</v>
      </c>
      <c r="C252" s="85" t="str" cm="1">
        <f t="array" ref="C252">IFERROR(INDEX('03.Muestra'!$F$8:$F$42,SMALL(IF("Página Web"='03.Muestra'!$D$8:$D$42,ROW('03.Muestra'!$F$8:$F$42)-MIN(ROW('03.Muestra'!$D$8:$D$42))+1,""),ROW()-246)),"")</f>
        <v>https://elecciones.comunidad.madrid/es/formaciones-politicas/impresos-electronicos</v>
      </c>
      <c r="D252" s="99" t="s">
        <v>184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Listado de candidaturas</v>
      </c>
      <c r="C253" s="85" t="str" cm="1">
        <f t="array" ref="C253">IFERROR(INDEX('03.Muestra'!$F$8:$F$42,SMALL(IF("Página Web"='03.Muestra'!$D$8:$D$42,ROW('03.Muestra'!$F$8:$F$42)-MIN(ROW('03.Muestra'!$D$8:$D$42))+1,""),ROW()-246)),"")</f>
        <v>https://elecciones.comunidad.madrid/es/formaciones-politicas/listado-candidaturas-proclamadas</v>
      </c>
      <c r="D253" s="99" t="s">
        <v>184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Partido Feminista de España</v>
      </c>
      <c r="C254" s="85" t="str" cm="1">
        <f t="array" ref="C254">IFERROR(INDEX('03.Muestra'!$F$8:$F$42,SMALL(IF("Página Web"='03.Muestra'!$D$8:$D$42,ROW('03.Muestra'!$F$8:$F$42)-MIN(ROW('03.Muestra'!$D$8:$D$42))+1,""),ROW()-246)),"")</f>
        <v>https://elecciones.comunidad.madrid/es/formaciones-politicas/listado-candidaturas/partido-feminista-espana</v>
      </c>
      <c r="D254" s="99" t="s">
        <v>184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¿Dónde voto?</v>
      </c>
      <c r="C255" s="85" t="str" cm="1">
        <f t="array" ref="C255">IFERROR(INDEX('03.Muestra'!$F$8:$F$42,SMALL(IF("Página Web"='03.Muestra'!$D$8:$D$42,ROW('03.Muestra'!$F$8:$F$42)-MIN(ROW('03.Muestra'!$D$8:$D$42))+1,""),ROW()-246)),"")</f>
        <v>https://elecciones.comunidad.madrid/es/votar/donde-voto</v>
      </c>
      <c r="D255" s="99" t="s">
        <v>184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Voto presencial</v>
      </c>
      <c r="C256" s="85" t="str" cm="1">
        <f t="array" ref="C256">IFERROR(INDEX('03.Muestra'!$F$8:$F$42,SMALL(IF("Página Web"='03.Muestra'!$D$8:$D$42,ROW('03.Muestra'!$F$8:$F$42)-MIN(ROW('03.Muestra'!$D$8:$D$42))+1,""),ROW()-246)),"")</f>
        <v>https://elecciones.comunidad.madrid/es/voto-local-electoral/voto-presencial</v>
      </c>
      <c r="D256" s="99" t="s">
        <v>184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Ciudadanos temporalmente en el extranjero</v>
      </c>
      <c r="C257" s="85" t="str" cm="1">
        <f t="array" ref="C257">IFERROR(INDEX('03.Muestra'!$F$8:$F$42,SMALL(IF("Página Web"='03.Muestra'!$D$8:$D$42,ROW('03.Muestra'!$F$8:$F$42)-MIN(ROW('03.Muestra'!$D$8:$D$42))+1,""),ROW()-246)),"")</f>
        <v>https://elecciones.comunidad.madrid/es/voto-correo/solicitud-voto-temporalmente-ausentes</v>
      </c>
      <c r="D257" s="99" t="s">
        <v>184</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Nuevo votante</v>
      </c>
      <c r="C258" s="85" t="str" cm="1">
        <f t="array" ref="C258">IFERROR(INDEX('03.Muestra'!$F$8:$F$42,SMALL(IF("Página Web"='03.Muestra'!$D$8:$D$42,ROW('03.Muestra'!$F$8:$F$42)-MIN(ROW('03.Muestra'!$D$8:$D$42))+1,""),ROW()-246)),"")</f>
        <v>https://elecciones.comunidad.madrid/es/votar/nuevo-votante</v>
      </c>
      <c r="D258" s="99" t="s">
        <v>184</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Simulación método D'Hondt</v>
      </c>
      <c r="C259" s="85" t="str" cm="1">
        <f t="array" ref="C259">IFERROR(INDEX('03.Muestra'!$F$8:$F$42,SMALL(IF("Página Web"='03.Muestra'!$D$8:$D$42,ROW('03.Muestra'!$F$8:$F$42)-MIN(ROW('03.Muestra'!$D$8:$D$42))+1,""),ROW()-246)),"")</f>
        <v>https://elecciones.comunidad.madrid/es/informacion-util/simulacion-metodo-dhondt</v>
      </c>
      <c r="D259" s="99" t="s">
        <v>184</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Ley D'Hondt</v>
      </c>
      <c r="C260" s="85" t="str" cm="1">
        <f t="array" ref="C260">IFERROR(INDEX('03.Muestra'!$F$8:$F$42,SMALL(IF("Página Web"='03.Muestra'!$D$8:$D$42,ROW('03.Muestra'!$F$8:$F$42)-MIN(ROW('03.Muestra'!$D$8:$D$42))+1,""),ROW()-246)),"")</f>
        <v>https://elecciones.comunidad.madrid/es/resultados/ley_d_hondt</v>
      </c>
      <c r="D260" s="99" t="s">
        <v>184</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Voto por correo elector CERA en España</v>
      </c>
      <c r="C261" s="85" t="str" cm="1">
        <f t="array" ref="C261">IFERROR(INDEX('03.Muestra'!$F$8:$F$42,SMALL(IF("Página Web"='03.Muestra'!$D$8:$D$42,ROW('03.Muestra'!$F$8:$F$42)-MIN(ROW('03.Muestra'!$D$8:$D$42))+1,""),ROW()-246)),"")</f>
        <v>https://elecciones.comunidad.madrid/es/preguntas-frecuentes/voto-correo-electores-residentes-extranjero</v>
      </c>
      <c r="D261" s="99" t="s">
        <v>184</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https://elecciones.comunidad.madrid/es/buzon-de-sugerencias</v>
      </c>
      <c r="D262" s="99" t="s">
        <v>184</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Buscador</v>
      </c>
      <c r="C263" s="85" t="str" cm="1">
        <f t="array" ref="C263">IFERROR(INDEX('03.Muestra'!$F$8:$F$42,SMALL(IF("Página Web"='03.Muestra'!$D$8:$D$42,ROW('03.Muestra'!$F$8:$F$42)-MIN(ROW('03.Muestra'!$D$8:$D$42))+1,""),ROW()-246)),"")</f>
        <v>https://elecciones.comunidad.madrid/es/search?search_api_fulltext=partido</v>
      </c>
      <c r="D263" s="99" t="s">
        <v>184</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Legal-Privacidad</v>
      </c>
      <c r="C264" s="85" t="str" cm="1">
        <f t="array" ref="C264">IFERROR(INDEX('03.Muestra'!$F$8:$F$42,SMALL(IF("Página Web"='03.Muestra'!$D$8:$D$42,ROW('03.Muestra'!$F$8:$F$42)-MIN(ROW('03.Muestra'!$D$8:$D$42))+1,""),ROW()-246)),"")</f>
        <v>https://elecciones.comunidad.madrid/es/aviso-legal</v>
      </c>
      <c r="D264" s="99" t="s">
        <v>184</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https://elecciones.comunidad.madrid/es/sitemap</v>
      </c>
      <c r="D265" s="99" t="s">
        <v>184</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Declaracion Accesibilidad</v>
      </c>
      <c r="C266" s="85" t="str" cm="1">
        <f t="array" ref="C266">IFERROR(INDEX('03.Muestra'!$F$8:$F$42,SMALL(IF("Página Web"='03.Muestra'!$D$8:$D$42,ROW('03.Muestra'!$F$8:$F$42)-MIN(ROW('03.Muestra'!$D$8:$D$42))+1,""),ROW()-246)),"")</f>
        <v>https://elecciones.comunidad.madrid/es/accesibilidad</v>
      </c>
      <c r="D266" s="99" t="s">
        <v>184</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181</v>
      </c>
      <c r="B284" s="23" t="s">
        <v>173</v>
      </c>
      <c r="C284" s="24" t="s">
        <v>201</v>
      </c>
      <c r="D284" s="25" t="s">
        <v>183</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https://elecciones.comunidad.madrid/es</v>
      </c>
      <c r="D285" s="99" t="s">
        <v>184</v>
      </c>
      <c r="E285" s="79" t="str">
        <f t="shared" ref="E285:E319" si="14">IF(D285&lt;&gt;"",IF(AND(B285&lt;&gt;"",C285&lt;&gt;""),"","ERR"),"")</f>
        <v/>
      </c>
      <c r="F285" s="86" t="s">
        <v>185</v>
      </c>
      <c r="G285" s="87" t="s">
        <v>186</v>
      </c>
      <c r="H285" s="88" t="s">
        <v>184</v>
      </c>
      <c r="I285" s="89" t="s">
        <v>176</v>
      </c>
      <c r="J285" s="90" t="s">
        <v>174</v>
      </c>
      <c r="K285" s="181" t="s">
        <v>180</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Resultado Elecciones 28M 2023</v>
      </c>
      <c r="C286" s="85" t="str" cm="1">
        <f t="array" ref="C286">IFERROR(INDEX('03.Muestra'!$F$8:$F$42,SMALL(IF("Página Web"='03.Muestra'!$D$8:$D$42,ROW('03.Muestra'!$F$8:$F$42)-MIN(ROW('03.Muestra'!$D$8:$D$42))+1,""),ROW()-284)),"")</f>
        <v>https://elecciones.comunidad.madrid/es/resultados-elecciones-asamblea-madrid-28m-2023</v>
      </c>
      <c r="D286" s="99" t="s">
        <v>184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Normativa electoral</v>
      </c>
      <c r="C287" s="85" t="str" cm="1">
        <f t="array" ref="C287">IFERROR(INDEX('03.Muestra'!$F$8:$F$42,SMALL(IF("Página Web"='03.Muestra'!$D$8:$D$42,ROW('03.Muestra'!$F$8:$F$42)-MIN(ROW('03.Muestra'!$D$8:$D$42))+1,""),ROW()-284)),"")</f>
        <v>https://elecciones.comunidad.madrid/es/informacion-electoral/normativa-electoral</v>
      </c>
      <c r="D287" s="99" t="s">
        <v>184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Calendario electoral</v>
      </c>
      <c r="C288" s="85" t="str" cm="1">
        <f t="array" ref="C288">IFERROR(INDEX('03.Muestra'!$F$8:$F$42,SMALL(IF("Página Web"='03.Muestra'!$D$8:$D$42,ROW('03.Muestra'!$F$8:$F$42)-MIN(ROW('03.Muestra'!$D$8:$D$42))+1,""),ROW()-284)),"")</f>
        <v>https://elecciones.comunidad.madrid/es/informacion-electoral/calendario-electoral</v>
      </c>
      <c r="D288" s="99" t="s">
        <v>184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Direcciones y teléfonos</v>
      </c>
      <c r="C289" s="85" t="str" cm="1">
        <f t="array" ref="C289">IFERROR(INDEX('03.Muestra'!$F$8:$F$42,SMALL(IF("Página Web"='03.Muestra'!$D$8:$D$42,ROW('03.Muestra'!$F$8:$F$42)-MIN(ROW('03.Muestra'!$D$8:$D$42))+1,""),ROW()-284)),"")</f>
        <v>https://elecciones.comunidad.madrid/es/juntas-electorales/direcciones-telefonos</v>
      </c>
      <c r="D289" s="99" t="s">
        <v>184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Impresos electrónicos</v>
      </c>
      <c r="C290" s="85" t="str" cm="1">
        <f t="array" ref="C290">IFERROR(INDEX('03.Muestra'!$F$8:$F$42,SMALL(IF("Página Web"='03.Muestra'!$D$8:$D$42,ROW('03.Muestra'!$F$8:$F$42)-MIN(ROW('03.Muestra'!$D$8:$D$42))+1,""),ROW()-284)),"")</f>
        <v>https://elecciones.comunidad.madrid/es/formaciones-politicas/impresos-electronicos</v>
      </c>
      <c r="D290" s="99" t="s">
        <v>184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Listado de candidaturas</v>
      </c>
      <c r="C291" s="85" t="str" cm="1">
        <f t="array" ref="C291">IFERROR(INDEX('03.Muestra'!$F$8:$F$42,SMALL(IF("Página Web"='03.Muestra'!$D$8:$D$42,ROW('03.Muestra'!$F$8:$F$42)-MIN(ROW('03.Muestra'!$D$8:$D$42))+1,""),ROW()-284)),"")</f>
        <v>https://elecciones.comunidad.madrid/es/formaciones-politicas/listado-candidaturas-proclamadas</v>
      </c>
      <c r="D291" s="99" t="s">
        <v>184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Partido Feminista de España</v>
      </c>
      <c r="C292" s="85" t="str" cm="1">
        <f t="array" ref="C292">IFERROR(INDEX('03.Muestra'!$F$8:$F$42,SMALL(IF("Página Web"='03.Muestra'!$D$8:$D$42,ROW('03.Muestra'!$F$8:$F$42)-MIN(ROW('03.Muestra'!$D$8:$D$42))+1,""),ROW()-284)),"")</f>
        <v>https://elecciones.comunidad.madrid/es/formaciones-politicas/listado-candidaturas/partido-feminista-espana</v>
      </c>
      <c r="D292" s="99" t="s">
        <v>184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¿Dónde voto?</v>
      </c>
      <c r="C293" s="85" t="str" cm="1">
        <f t="array" ref="C293">IFERROR(INDEX('03.Muestra'!$F$8:$F$42,SMALL(IF("Página Web"='03.Muestra'!$D$8:$D$42,ROW('03.Muestra'!$F$8:$F$42)-MIN(ROW('03.Muestra'!$D$8:$D$42))+1,""),ROW()-284)),"")</f>
        <v>https://elecciones.comunidad.madrid/es/votar/donde-voto</v>
      </c>
      <c r="D293" s="99" t="s">
        <v>184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Voto presencial</v>
      </c>
      <c r="C294" s="85" t="str" cm="1">
        <f t="array" ref="C294">IFERROR(INDEX('03.Muestra'!$F$8:$F$42,SMALL(IF("Página Web"='03.Muestra'!$D$8:$D$42,ROW('03.Muestra'!$F$8:$F$42)-MIN(ROW('03.Muestra'!$D$8:$D$42))+1,""),ROW()-284)),"")</f>
        <v>https://elecciones.comunidad.madrid/es/voto-local-electoral/voto-presencial</v>
      </c>
      <c r="D294" s="99" t="s">
        <v>184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Ciudadanos temporalmente en el extranjero</v>
      </c>
      <c r="C295" s="85" t="str" cm="1">
        <f t="array" ref="C295">IFERROR(INDEX('03.Muestra'!$F$8:$F$42,SMALL(IF("Página Web"='03.Muestra'!$D$8:$D$42,ROW('03.Muestra'!$F$8:$F$42)-MIN(ROW('03.Muestra'!$D$8:$D$42))+1,""),ROW()-284)),"")</f>
        <v>https://elecciones.comunidad.madrid/es/voto-correo/solicitud-voto-temporalmente-ausentes</v>
      </c>
      <c r="D295" s="99" t="s">
        <v>184</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Nuevo votante</v>
      </c>
      <c r="C296" s="85" t="str" cm="1">
        <f t="array" ref="C296">IFERROR(INDEX('03.Muestra'!$F$8:$F$42,SMALL(IF("Página Web"='03.Muestra'!$D$8:$D$42,ROW('03.Muestra'!$F$8:$F$42)-MIN(ROW('03.Muestra'!$D$8:$D$42))+1,""),ROW()-284)),"")</f>
        <v>https://elecciones.comunidad.madrid/es/votar/nuevo-votante</v>
      </c>
      <c r="D296" s="99" t="s">
        <v>184</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Simulación método D'Hondt</v>
      </c>
      <c r="C297" s="85" t="str" cm="1">
        <f t="array" ref="C297">IFERROR(INDEX('03.Muestra'!$F$8:$F$42,SMALL(IF("Página Web"='03.Muestra'!$D$8:$D$42,ROW('03.Muestra'!$F$8:$F$42)-MIN(ROW('03.Muestra'!$D$8:$D$42))+1,""),ROW()-284)),"")</f>
        <v>https://elecciones.comunidad.madrid/es/informacion-util/simulacion-metodo-dhondt</v>
      </c>
      <c r="D297" s="99" t="s">
        <v>184</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Ley D'Hondt</v>
      </c>
      <c r="C298" s="85" t="str" cm="1">
        <f t="array" ref="C298">IFERROR(INDEX('03.Muestra'!$F$8:$F$42,SMALL(IF("Página Web"='03.Muestra'!$D$8:$D$42,ROW('03.Muestra'!$F$8:$F$42)-MIN(ROW('03.Muestra'!$D$8:$D$42))+1,""),ROW()-284)),"")</f>
        <v>https://elecciones.comunidad.madrid/es/resultados/ley_d_hondt</v>
      </c>
      <c r="D298" s="99" t="s">
        <v>184</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Voto por correo elector CERA en España</v>
      </c>
      <c r="C299" s="85" t="str" cm="1">
        <f t="array" ref="C299">IFERROR(INDEX('03.Muestra'!$F$8:$F$42,SMALL(IF("Página Web"='03.Muestra'!$D$8:$D$42,ROW('03.Muestra'!$F$8:$F$42)-MIN(ROW('03.Muestra'!$D$8:$D$42))+1,""),ROW()-284)),"")</f>
        <v>https://elecciones.comunidad.madrid/es/preguntas-frecuentes/voto-correo-electores-residentes-extranjero</v>
      </c>
      <c r="D299" s="99" t="s">
        <v>184</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https://elecciones.comunidad.madrid/es/buzon-de-sugerencias</v>
      </c>
      <c r="D300" s="99" t="s">
        <v>184</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Buscador</v>
      </c>
      <c r="C301" s="85" t="str" cm="1">
        <f t="array" ref="C301">IFERROR(INDEX('03.Muestra'!$F$8:$F$42,SMALL(IF("Página Web"='03.Muestra'!$D$8:$D$42,ROW('03.Muestra'!$F$8:$F$42)-MIN(ROW('03.Muestra'!$D$8:$D$42))+1,""),ROW()-284)),"")</f>
        <v>https://elecciones.comunidad.madrid/es/search?search_api_fulltext=partido</v>
      </c>
      <c r="D301" s="99" t="s">
        <v>184</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Legal-Privacidad</v>
      </c>
      <c r="C302" s="85" t="str" cm="1">
        <f t="array" ref="C302">IFERROR(INDEX('03.Muestra'!$F$8:$F$42,SMALL(IF("Página Web"='03.Muestra'!$D$8:$D$42,ROW('03.Muestra'!$F$8:$F$42)-MIN(ROW('03.Muestra'!$D$8:$D$42))+1,""),ROW()-284)),"")</f>
        <v>https://elecciones.comunidad.madrid/es/aviso-legal</v>
      </c>
      <c r="D302" s="99" t="s">
        <v>184</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https://elecciones.comunidad.madrid/es/sitemap</v>
      </c>
      <c r="D303" s="99" t="s">
        <v>184</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Declaracion Accesibilidad</v>
      </c>
      <c r="C304" s="85" t="str" cm="1">
        <f t="array" ref="C304">IFERROR(INDEX('03.Muestra'!$F$8:$F$42,SMALL(IF("Página Web"='03.Muestra'!$D$8:$D$42,ROW('03.Muestra'!$F$8:$F$42)-MIN(ROW('03.Muestra'!$D$8:$D$42))+1,""),ROW()-284)),"")</f>
        <v>https://elecciones.comunidad.madrid/es/accesibilidad</v>
      </c>
      <c r="D304" s="99" t="s">
        <v>184</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181</v>
      </c>
      <c r="B322" s="23" t="s">
        <v>173</v>
      </c>
      <c r="C322" s="24" t="s">
        <v>202</v>
      </c>
      <c r="D322" s="25" t="s">
        <v>183</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https://elecciones.comunidad.madrid/es</v>
      </c>
      <c r="D323" s="99" t="s">
        <v>184</v>
      </c>
      <c r="E323" s="79" t="str">
        <f t="shared" ref="E323:E357" si="16">IF(D323&lt;&gt;"",IF(AND(B323&lt;&gt;"",C323&lt;&gt;""),"","ERR"),"")</f>
        <v/>
      </c>
      <c r="F323" s="86" t="s">
        <v>185</v>
      </c>
      <c r="G323" s="87" t="s">
        <v>186</v>
      </c>
      <c r="H323" s="88" t="s">
        <v>184</v>
      </c>
      <c r="I323" s="89" t="s">
        <v>176</v>
      </c>
      <c r="J323" s="90" t="s">
        <v>174</v>
      </c>
      <c r="K323" s="181" t="s">
        <v>180</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Resultado Elecciones 28M 2023</v>
      </c>
      <c r="C324" s="85" t="str" cm="1">
        <f t="array" ref="C324">IFERROR(INDEX('03.Muestra'!$F$8:$F$42,SMALL(IF("Página Web"='03.Muestra'!$D$8:$D$42,ROW('03.Muestra'!$F$8:$F$42)-MIN(ROW('03.Muestra'!$D$8:$D$42))+1,""),ROW()-322)),"")</f>
        <v>https://elecciones.comunidad.madrid/es/resultados-elecciones-asamblea-madrid-28m-2023</v>
      </c>
      <c r="D324" s="99" t="s">
        <v>184</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Normativa electoral</v>
      </c>
      <c r="C325" s="85" t="str" cm="1">
        <f t="array" ref="C325">IFERROR(INDEX('03.Muestra'!$F$8:$F$42,SMALL(IF("Página Web"='03.Muestra'!$D$8:$D$42,ROW('03.Muestra'!$F$8:$F$42)-MIN(ROW('03.Muestra'!$D$8:$D$42))+1,""),ROW()-322)),"")</f>
        <v>https://elecciones.comunidad.madrid/es/informacion-electoral/normativa-electoral</v>
      </c>
      <c r="D325" s="99" t="s">
        <v>184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Calendario electoral</v>
      </c>
      <c r="C326" s="85" t="str" cm="1">
        <f t="array" ref="C326">IFERROR(INDEX('03.Muestra'!$F$8:$F$42,SMALL(IF("Página Web"='03.Muestra'!$D$8:$D$42,ROW('03.Muestra'!$F$8:$F$42)-MIN(ROW('03.Muestra'!$D$8:$D$42))+1,""),ROW()-322)),"")</f>
        <v>https://elecciones.comunidad.madrid/es/informacion-electoral/calendario-electoral</v>
      </c>
      <c r="D326" s="99" t="s">
        <v>184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Direcciones y teléfonos</v>
      </c>
      <c r="C327" s="85" t="str" cm="1">
        <f t="array" ref="C327">IFERROR(INDEX('03.Muestra'!$F$8:$F$42,SMALL(IF("Página Web"='03.Muestra'!$D$8:$D$42,ROW('03.Muestra'!$F$8:$F$42)-MIN(ROW('03.Muestra'!$D$8:$D$42))+1,""),ROW()-322)),"")</f>
        <v>https://elecciones.comunidad.madrid/es/juntas-electorales/direcciones-telefonos</v>
      </c>
      <c r="D327" s="99" t="s">
        <v>184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Impresos electrónicos</v>
      </c>
      <c r="C328" s="85" t="str" cm="1">
        <f t="array" ref="C328">IFERROR(INDEX('03.Muestra'!$F$8:$F$42,SMALL(IF("Página Web"='03.Muestra'!$D$8:$D$42,ROW('03.Muestra'!$F$8:$F$42)-MIN(ROW('03.Muestra'!$D$8:$D$42))+1,""),ROW()-322)),"")</f>
        <v>https://elecciones.comunidad.madrid/es/formaciones-politicas/impresos-electronicos</v>
      </c>
      <c r="D328" s="99" t="s">
        <v>184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Listado de candidaturas</v>
      </c>
      <c r="C329" s="85" t="str" cm="1">
        <f t="array" ref="C329">IFERROR(INDEX('03.Muestra'!$F$8:$F$42,SMALL(IF("Página Web"='03.Muestra'!$D$8:$D$42,ROW('03.Muestra'!$F$8:$F$42)-MIN(ROW('03.Muestra'!$D$8:$D$42))+1,""),ROW()-322)),"")</f>
        <v>https://elecciones.comunidad.madrid/es/formaciones-politicas/listado-candidaturas-proclamadas</v>
      </c>
      <c r="D329" s="99" t="s">
        <v>184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Partido Feminista de España</v>
      </c>
      <c r="C330" s="85" t="str" cm="1">
        <f t="array" ref="C330">IFERROR(INDEX('03.Muestra'!$F$8:$F$42,SMALL(IF("Página Web"='03.Muestra'!$D$8:$D$42,ROW('03.Muestra'!$F$8:$F$42)-MIN(ROW('03.Muestra'!$D$8:$D$42))+1,""),ROW()-322)),"")</f>
        <v>https://elecciones.comunidad.madrid/es/formaciones-politicas/listado-candidaturas/partido-feminista-espana</v>
      </c>
      <c r="D330" s="99" t="s">
        <v>184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¿Dónde voto?</v>
      </c>
      <c r="C331" s="85" t="str" cm="1">
        <f t="array" ref="C331">IFERROR(INDEX('03.Muestra'!$F$8:$F$42,SMALL(IF("Página Web"='03.Muestra'!$D$8:$D$42,ROW('03.Muestra'!$F$8:$F$42)-MIN(ROW('03.Muestra'!$D$8:$D$42))+1,""),ROW()-322)),"")</f>
        <v>https://elecciones.comunidad.madrid/es/votar/donde-voto</v>
      </c>
      <c r="D331" s="99" t="s">
        <v>184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Voto presencial</v>
      </c>
      <c r="C332" s="85" t="str" cm="1">
        <f t="array" ref="C332">IFERROR(INDEX('03.Muestra'!$F$8:$F$42,SMALL(IF("Página Web"='03.Muestra'!$D$8:$D$42,ROW('03.Muestra'!$F$8:$F$42)-MIN(ROW('03.Muestra'!$D$8:$D$42))+1,""),ROW()-322)),"")</f>
        <v>https://elecciones.comunidad.madrid/es/voto-local-electoral/voto-presencial</v>
      </c>
      <c r="D332" s="99" t="s">
        <v>184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Ciudadanos temporalmente en el extranjero</v>
      </c>
      <c r="C333" s="85" t="str" cm="1">
        <f t="array" ref="C333">IFERROR(INDEX('03.Muestra'!$F$8:$F$42,SMALL(IF("Página Web"='03.Muestra'!$D$8:$D$42,ROW('03.Muestra'!$F$8:$F$42)-MIN(ROW('03.Muestra'!$D$8:$D$42))+1,""),ROW()-322)),"")</f>
        <v>https://elecciones.comunidad.madrid/es/voto-correo/solicitud-voto-temporalmente-ausentes</v>
      </c>
      <c r="D333" s="99" t="s">
        <v>184</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Nuevo votante</v>
      </c>
      <c r="C334" s="85" t="str" cm="1">
        <f t="array" ref="C334">IFERROR(INDEX('03.Muestra'!$F$8:$F$42,SMALL(IF("Página Web"='03.Muestra'!$D$8:$D$42,ROW('03.Muestra'!$F$8:$F$42)-MIN(ROW('03.Muestra'!$D$8:$D$42))+1,""),ROW()-322)),"")</f>
        <v>https://elecciones.comunidad.madrid/es/votar/nuevo-votante</v>
      </c>
      <c r="D334" s="99" t="s">
        <v>184</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Simulación método D'Hondt</v>
      </c>
      <c r="C335" s="85" t="str" cm="1">
        <f t="array" ref="C335">IFERROR(INDEX('03.Muestra'!$F$8:$F$42,SMALL(IF("Página Web"='03.Muestra'!$D$8:$D$42,ROW('03.Muestra'!$F$8:$F$42)-MIN(ROW('03.Muestra'!$D$8:$D$42))+1,""),ROW()-322)),"")</f>
        <v>https://elecciones.comunidad.madrid/es/informacion-util/simulacion-metodo-dhondt</v>
      </c>
      <c r="D335" s="99" t="s">
        <v>184</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Ley D'Hondt</v>
      </c>
      <c r="C336" s="85" t="str" cm="1">
        <f t="array" ref="C336">IFERROR(INDEX('03.Muestra'!$F$8:$F$42,SMALL(IF("Página Web"='03.Muestra'!$D$8:$D$42,ROW('03.Muestra'!$F$8:$F$42)-MIN(ROW('03.Muestra'!$D$8:$D$42))+1,""),ROW()-322)),"")</f>
        <v>https://elecciones.comunidad.madrid/es/resultados/ley_d_hondt</v>
      </c>
      <c r="D336" s="99" t="s">
        <v>184</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Voto por correo elector CERA en España</v>
      </c>
      <c r="C337" s="85" t="str" cm="1">
        <f t="array" ref="C337">IFERROR(INDEX('03.Muestra'!$F$8:$F$42,SMALL(IF("Página Web"='03.Muestra'!$D$8:$D$42,ROW('03.Muestra'!$F$8:$F$42)-MIN(ROW('03.Muestra'!$D$8:$D$42))+1,""),ROW()-322)),"")</f>
        <v>https://elecciones.comunidad.madrid/es/preguntas-frecuentes/voto-correo-electores-residentes-extranjero</v>
      </c>
      <c r="D337" s="99" t="s">
        <v>184</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https://elecciones.comunidad.madrid/es/buzon-de-sugerencias</v>
      </c>
      <c r="D338" s="99" t="s">
        <v>184</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Buscador</v>
      </c>
      <c r="C339" s="85" t="str" cm="1">
        <f t="array" ref="C339">IFERROR(INDEX('03.Muestra'!$F$8:$F$42,SMALL(IF("Página Web"='03.Muestra'!$D$8:$D$42,ROW('03.Muestra'!$F$8:$F$42)-MIN(ROW('03.Muestra'!$D$8:$D$42))+1,""),ROW()-322)),"")</f>
        <v>https://elecciones.comunidad.madrid/es/search?search_api_fulltext=partido</v>
      </c>
      <c r="D339" s="99" t="s">
        <v>184</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Legal-Privacidad</v>
      </c>
      <c r="C340" s="85" t="str" cm="1">
        <f t="array" ref="C340">IFERROR(INDEX('03.Muestra'!$F$8:$F$42,SMALL(IF("Página Web"='03.Muestra'!$D$8:$D$42,ROW('03.Muestra'!$F$8:$F$42)-MIN(ROW('03.Muestra'!$D$8:$D$42))+1,""),ROW()-322)),"")</f>
        <v>https://elecciones.comunidad.madrid/es/aviso-legal</v>
      </c>
      <c r="D340" s="99" t="s">
        <v>184</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https://elecciones.comunidad.madrid/es/sitemap</v>
      </c>
      <c r="D341" s="99" t="s">
        <v>184</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Declaracion Accesibilidad</v>
      </c>
      <c r="C342" s="85" t="str" cm="1">
        <f t="array" ref="C342">IFERROR(INDEX('03.Muestra'!$F$8:$F$42,SMALL(IF("Página Web"='03.Muestra'!$D$8:$D$42,ROW('03.Muestra'!$F$8:$F$42)-MIN(ROW('03.Muestra'!$D$8:$D$42))+1,""),ROW()-322)),"")</f>
        <v>https://elecciones.comunidad.madrid/es/accesibilidad</v>
      </c>
      <c r="D342" s="99" t="s">
        <v>184</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181</v>
      </c>
      <c r="B360" s="23" t="s">
        <v>173</v>
      </c>
      <c r="C360" s="24" t="s">
        <v>203</v>
      </c>
      <c r="D360" s="25" t="s">
        <v>183</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https://elecciones.comunidad.madrid/es</v>
      </c>
      <c r="D361" s="99" t="s">
        <v>184</v>
      </c>
      <c r="E361" s="79" t="str">
        <f t="shared" ref="E361:E395" si="18">IF(D361&lt;&gt;"",IF(AND(B361&lt;&gt;"",C361&lt;&gt;""),"","ERR"),"")</f>
        <v/>
      </c>
      <c r="F361" s="86" t="s">
        <v>185</v>
      </c>
      <c r="G361" s="87" t="s">
        <v>186</v>
      </c>
      <c r="H361" s="88" t="s">
        <v>184</v>
      </c>
      <c r="I361" s="89" t="s">
        <v>176</v>
      </c>
      <c r="J361" s="90" t="s">
        <v>174</v>
      </c>
      <c r="K361" s="181" t="s">
        <v>180</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Resultado Elecciones 28M 2023</v>
      </c>
      <c r="C362" s="85" t="str" cm="1">
        <f t="array" ref="C362">IFERROR(INDEX('03.Muestra'!$F$8:$F$42,SMALL(IF("Página Web"='03.Muestra'!$D$8:$D$42,ROW('03.Muestra'!$F$8:$F$42)-MIN(ROW('03.Muestra'!$D$8:$D$42))+1,""),ROW()-360)),"")</f>
        <v>https://elecciones.comunidad.madrid/es/resultados-elecciones-asamblea-madrid-28m-2023</v>
      </c>
      <c r="D362" s="99" t="s">
        <v>184</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Normativa electoral</v>
      </c>
      <c r="C363" s="85" t="str" cm="1">
        <f t="array" ref="C363">IFERROR(INDEX('03.Muestra'!$F$8:$F$42,SMALL(IF("Página Web"='03.Muestra'!$D$8:$D$42,ROW('03.Muestra'!$F$8:$F$42)-MIN(ROW('03.Muestra'!$D$8:$D$42))+1,""),ROW()-360)),"")</f>
        <v>https://elecciones.comunidad.madrid/es/informacion-electoral/normativa-electoral</v>
      </c>
      <c r="D363" s="99" t="s">
        <v>184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Calendario electoral</v>
      </c>
      <c r="C364" s="85" t="str" cm="1">
        <f t="array" ref="C364">IFERROR(INDEX('03.Muestra'!$F$8:$F$42,SMALL(IF("Página Web"='03.Muestra'!$D$8:$D$42,ROW('03.Muestra'!$F$8:$F$42)-MIN(ROW('03.Muestra'!$D$8:$D$42))+1,""),ROW()-360)),"")</f>
        <v>https://elecciones.comunidad.madrid/es/informacion-electoral/calendario-electoral</v>
      </c>
      <c r="D364" s="99" t="s">
        <v>184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Direcciones y teléfonos</v>
      </c>
      <c r="C365" s="85" t="str" cm="1">
        <f t="array" ref="C365">IFERROR(INDEX('03.Muestra'!$F$8:$F$42,SMALL(IF("Página Web"='03.Muestra'!$D$8:$D$42,ROW('03.Muestra'!$F$8:$F$42)-MIN(ROW('03.Muestra'!$D$8:$D$42))+1,""),ROW()-360)),"")</f>
        <v>https://elecciones.comunidad.madrid/es/juntas-electorales/direcciones-telefonos</v>
      </c>
      <c r="D365" s="99" t="s">
        <v>184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Impresos electrónicos</v>
      </c>
      <c r="C366" s="85" t="str" cm="1">
        <f t="array" ref="C366">IFERROR(INDEX('03.Muestra'!$F$8:$F$42,SMALL(IF("Página Web"='03.Muestra'!$D$8:$D$42,ROW('03.Muestra'!$F$8:$F$42)-MIN(ROW('03.Muestra'!$D$8:$D$42))+1,""),ROW()-360)),"")</f>
        <v>https://elecciones.comunidad.madrid/es/formaciones-politicas/impresos-electronicos</v>
      </c>
      <c r="D366" s="99" t="s">
        <v>184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Listado de candidaturas</v>
      </c>
      <c r="C367" s="85" t="str" cm="1">
        <f t="array" ref="C367">IFERROR(INDEX('03.Muestra'!$F$8:$F$42,SMALL(IF("Página Web"='03.Muestra'!$D$8:$D$42,ROW('03.Muestra'!$F$8:$F$42)-MIN(ROW('03.Muestra'!$D$8:$D$42))+1,""),ROW()-360)),"")</f>
        <v>https://elecciones.comunidad.madrid/es/formaciones-politicas/listado-candidaturas-proclamadas</v>
      </c>
      <c r="D367" s="99" t="s">
        <v>184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Partido Feminista de España</v>
      </c>
      <c r="C368" s="85" t="str" cm="1">
        <f t="array" ref="C368">IFERROR(INDEX('03.Muestra'!$F$8:$F$42,SMALL(IF("Página Web"='03.Muestra'!$D$8:$D$42,ROW('03.Muestra'!$F$8:$F$42)-MIN(ROW('03.Muestra'!$D$8:$D$42))+1,""),ROW()-360)),"")</f>
        <v>https://elecciones.comunidad.madrid/es/formaciones-politicas/listado-candidaturas/partido-feminista-espana</v>
      </c>
      <c r="D368" s="99" t="s">
        <v>184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¿Dónde voto?</v>
      </c>
      <c r="C369" s="85" t="str" cm="1">
        <f t="array" ref="C369">IFERROR(INDEX('03.Muestra'!$F$8:$F$42,SMALL(IF("Página Web"='03.Muestra'!$D$8:$D$42,ROW('03.Muestra'!$F$8:$F$42)-MIN(ROW('03.Muestra'!$D$8:$D$42))+1,""),ROW()-360)),"")</f>
        <v>https://elecciones.comunidad.madrid/es/votar/donde-voto</v>
      </c>
      <c r="D369" s="99" t="s">
        <v>184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Voto presencial</v>
      </c>
      <c r="C370" s="85" t="str" cm="1">
        <f t="array" ref="C370">IFERROR(INDEX('03.Muestra'!$F$8:$F$42,SMALL(IF("Página Web"='03.Muestra'!$D$8:$D$42,ROW('03.Muestra'!$F$8:$F$42)-MIN(ROW('03.Muestra'!$D$8:$D$42))+1,""),ROW()-360)),"")</f>
        <v>https://elecciones.comunidad.madrid/es/voto-local-electoral/voto-presencial</v>
      </c>
      <c r="D370" s="99" t="s">
        <v>184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Ciudadanos temporalmente en el extranjero</v>
      </c>
      <c r="C371" s="85" t="str" cm="1">
        <f t="array" ref="C371">IFERROR(INDEX('03.Muestra'!$F$8:$F$42,SMALL(IF("Página Web"='03.Muestra'!$D$8:$D$42,ROW('03.Muestra'!$F$8:$F$42)-MIN(ROW('03.Muestra'!$D$8:$D$42))+1,""),ROW()-360)),"")</f>
        <v>https://elecciones.comunidad.madrid/es/voto-correo/solicitud-voto-temporalmente-ausentes</v>
      </c>
      <c r="D371" s="99" t="s">
        <v>184</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Nuevo votante</v>
      </c>
      <c r="C372" s="85" t="str" cm="1">
        <f t="array" ref="C372">IFERROR(INDEX('03.Muestra'!$F$8:$F$42,SMALL(IF("Página Web"='03.Muestra'!$D$8:$D$42,ROW('03.Muestra'!$F$8:$F$42)-MIN(ROW('03.Muestra'!$D$8:$D$42))+1,""),ROW()-360)),"")</f>
        <v>https://elecciones.comunidad.madrid/es/votar/nuevo-votante</v>
      </c>
      <c r="D372" s="99" t="s">
        <v>184</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Simulación método D'Hondt</v>
      </c>
      <c r="C373" s="85" t="str" cm="1">
        <f t="array" ref="C373">IFERROR(INDEX('03.Muestra'!$F$8:$F$42,SMALL(IF("Página Web"='03.Muestra'!$D$8:$D$42,ROW('03.Muestra'!$F$8:$F$42)-MIN(ROW('03.Muestra'!$D$8:$D$42))+1,""),ROW()-360)),"")</f>
        <v>https://elecciones.comunidad.madrid/es/informacion-util/simulacion-metodo-dhondt</v>
      </c>
      <c r="D373" s="99" t="s">
        <v>184</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Ley D'Hondt</v>
      </c>
      <c r="C374" s="85" t="str" cm="1">
        <f t="array" ref="C374">IFERROR(INDEX('03.Muestra'!$F$8:$F$42,SMALL(IF("Página Web"='03.Muestra'!$D$8:$D$42,ROW('03.Muestra'!$F$8:$F$42)-MIN(ROW('03.Muestra'!$D$8:$D$42))+1,""),ROW()-360)),"")</f>
        <v>https://elecciones.comunidad.madrid/es/resultados/ley_d_hondt</v>
      </c>
      <c r="D374" s="99" t="s">
        <v>184</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Voto por correo elector CERA en España</v>
      </c>
      <c r="C375" s="85" t="str" cm="1">
        <f t="array" ref="C375">IFERROR(INDEX('03.Muestra'!$F$8:$F$42,SMALL(IF("Página Web"='03.Muestra'!$D$8:$D$42,ROW('03.Muestra'!$F$8:$F$42)-MIN(ROW('03.Muestra'!$D$8:$D$42))+1,""),ROW()-360)),"")</f>
        <v>https://elecciones.comunidad.madrid/es/preguntas-frecuentes/voto-correo-electores-residentes-extranjero</v>
      </c>
      <c r="D375" s="99" t="s">
        <v>184</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https://elecciones.comunidad.madrid/es/buzon-de-sugerencias</v>
      </c>
      <c r="D376" s="99" t="s">
        <v>184</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Buscador</v>
      </c>
      <c r="C377" s="85" t="str" cm="1">
        <f t="array" ref="C377">IFERROR(INDEX('03.Muestra'!$F$8:$F$42,SMALL(IF("Página Web"='03.Muestra'!$D$8:$D$42,ROW('03.Muestra'!$F$8:$F$42)-MIN(ROW('03.Muestra'!$D$8:$D$42))+1,""),ROW()-360)),"")</f>
        <v>https://elecciones.comunidad.madrid/es/search?search_api_fulltext=partido</v>
      </c>
      <c r="D377" s="99" t="s">
        <v>184</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Legal-Privacidad</v>
      </c>
      <c r="C378" s="85" t="str" cm="1">
        <f t="array" ref="C378">IFERROR(INDEX('03.Muestra'!$F$8:$F$42,SMALL(IF("Página Web"='03.Muestra'!$D$8:$D$42,ROW('03.Muestra'!$F$8:$F$42)-MIN(ROW('03.Muestra'!$D$8:$D$42))+1,""),ROW()-360)),"")</f>
        <v>https://elecciones.comunidad.madrid/es/aviso-legal</v>
      </c>
      <c r="D378" s="99" t="s">
        <v>184</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https://elecciones.comunidad.madrid/es/sitemap</v>
      </c>
      <c r="D379" s="99" t="s">
        <v>184</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Declaracion Accesibilidad</v>
      </c>
      <c r="C380" s="85" t="str" cm="1">
        <f t="array" ref="C380">IFERROR(INDEX('03.Muestra'!$F$8:$F$42,SMALL(IF("Página Web"='03.Muestra'!$D$8:$D$42,ROW('03.Muestra'!$F$8:$F$42)-MIN(ROW('03.Muestra'!$D$8:$D$42))+1,""),ROW()-360)),"")</f>
        <v>https://elecciones.comunidad.madrid/es/accesibilidad</v>
      </c>
      <c r="D380" s="99" t="s">
        <v>184</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181</v>
      </c>
      <c r="B398" s="23" t="s">
        <v>173</v>
      </c>
      <c r="C398" s="24" t="s">
        <v>204</v>
      </c>
      <c r="D398" s="25" t="s">
        <v>183</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https://elecciones.comunidad.madrid/es</v>
      </c>
      <c r="D399" s="99" t="s">
        <v>184</v>
      </c>
      <c r="E399" s="79" t="str">
        <f t="shared" ref="E399:E433" si="20">IF(D399&lt;&gt;"",IF(AND(B399&lt;&gt;"",C399&lt;&gt;""),"","ERR"),"")</f>
        <v/>
      </c>
      <c r="F399" s="86" t="s">
        <v>185</v>
      </c>
      <c r="G399" s="87" t="s">
        <v>186</v>
      </c>
      <c r="H399" s="88" t="s">
        <v>184</v>
      </c>
      <c r="I399" s="89" t="s">
        <v>176</v>
      </c>
      <c r="J399" s="90" t="s">
        <v>174</v>
      </c>
      <c r="K399" s="181" t="s">
        <v>180</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Resultado Elecciones 28M 2023</v>
      </c>
      <c r="C400" s="85" t="str" cm="1">
        <f t="array" ref="C400">IFERROR(INDEX('03.Muestra'!$F$8:$F$42,SMALL(IF("Página Web"='03.Muestra'!$D$8:$D$42,ROW('03.Muestra'!$F$8:$F$42)-MIN(ROW('03.Muestra'!$D$8:$D$42))+1,""),ROW()-398)),"")</f>
        <v>https://elecciones.comunidad.madrid/es/resultados-elecciones-asamblea-madrid-28m-2023</v>
      </c>
      <c r="D400" s="99" t="s">
        <v>184</v>
      </c>
      <c r="E400" s="79" t="str">
        <f t="shared" si="20"/>
        <v/>
      </c>
      <c r="F400" s="91">
        <f ca="1">COUNTIF($D399:INDIRECT("$D" &amp;  SUM(ROW()-1,'03.Muestra'!$D$45)-1),F399)</f>
        <v>0</v>
      </c>
      <c r="G400" s="91">
        <f ca="1">COUNTIF($D399:INDIRECT("$D" &amp;  SUM(ROW()-1,'03.Muestra'!$D$45)-1),G399)</f>
        <v>0</v>
      </c>
      <c r="H400" s="91">
        <f ca="1">COUNTIF($D399:INDIRECT("$D" &amp;  SUM(ROW()-1,'03.Muestra'!$D$45)-1),H399)</f>
        <v>20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Normativa electoral</v>
      </c>
      <c r="C401" s="85" t="str" cm="1">
        <f t="array" ref="C401">IFERROR(INDEX('03.Muestra'!$F$8:$F$42,SMALL(IF("Página Web"='03.Muestra'!$D$8:$D$42,ROW('03.Muestra'!$F$8:$F$42)-MIN(ROW('03.Muestra'!$D$8:$D$42))+1,""),ROW()-398)),"")</f>
        <v>https://elecciones.comunidad.madrid/es/informacion-electoral/normativa-electoral</v>
      </c>
      <c r="D401" s="99" t="s">
        <v>184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Calendario electoral</v>
      </c>
      <c r="C402" s="85" t="str" cm="1">
        <f t="array" ref="C402">IFERROR(INDEX('03.Muestra'!$F$8:$F$42,SMALL(IF("Página Web"='03.Muestra'!$D$8:$D$42,ROW('03.Muestra'!$F$8:$F$42)-MIN(ROW('03.Muestra'!$D$8:$D$42))+1,""),ROW()-398)),"")</f>
        <v>https://elecciones.comunidad.madrid/es/informacion-electoral/calendario-electoral</v>
      </c>
      <c r="D402" s="99" t="s">
        <v>184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Direcciones y teléfonos</v>
      </c>
      <c r="C403" s="85" t="str" cm="1">
        <f t="array" ref="C403">IFERROR(INDEX('03.Muestra'!$F$8:$F$42,SMALL(IF("Página Web"='03.Muestra'!$D$8:$D$42,ROW('03.Muestra'!$F$8:$F$42)-MIN(ROW('03.Muestra'!$D$8:$D$42))+1,""),ROW()-398)),"")</f>
        <v>https://elecciones.comunidad.madrid/es/juntas-electorales/direcciones-telefonos</v>
      </c>
      <c r="D403" s="99" t="s">
        <v>184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Impresos electrónicos</v>
      </c>
      <c r="C404" s="85" t="str" cm="1">
        <f t="array" ref="C404">IFERROR(INDEX('03.Muestra'!$F$8:$F$42,SMALL(IF("Página Web"='03.Muestra'!$D$8:$D$42,ROW('03.Muestra'!$F$8:$F$42)-MIN(ROW('03.Muestra'!$D$8:$D$42))+1,""),ROW()-398)),"")</f>
        <v>https://elecciones.comunidad.madrid/es/formaciones-politicas/impresos-electronicos</v>
      </c>
      <c r="D404" s="99" t="s">
        <v>184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Listado de candidaturas</v>
      </c>
      <c r="C405" s="85" t="str" cm="1">
        <f t="array" ref="C405">IFERROR(INDEX('03.Muestra'!$F$8:$F$42,SMALL(IF("Página Web"='03.Muestra'!$D$8:$D$42,ROW('03.Muestra'!$F$8:$F$42)-MIN(ROW('03.Muestra'!$D$8:$D$42))+1,""),ROW()-398)),"")</f>
        <v>https://elecciones.comunidad.madrid/es/formaciones-politicas/listado-candidaturas-proclamadas</v>
      </c>
      <c r="D405" s="99" t="s">
        <v>184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Partido Feminista de España</v>
      </c>
      <c r="C406" s="85" t="str" cm="1">
        <f t="array" ref="C406">IFERROR(INDEX('03.Muestra'!$F$8:$F$42,SMALL(IF("Página Web"='03.Muestra'!$D$8:$D$42,ROW('03.Muestra'!$F$8:$F$42)-MIN(ROW('03.Muestra'!$D$8:$D$42))+1,""),ROW()-398)),"")</f>
        <v>https://elecciones.comunidad.madrid/es/formaciones-politicas/listado-candidaturas/partido-feminista-espana</v>
      </c>
      <c r="D406" s="99" t="s">
        <v>184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¿Dónde voto?</v>
      </c>
      <c r="C407" s="85" t="str" cm="1">
        <f t="array" ref="C407">IFERROR(INDEX('03.Muestra'!$F$8:$F$42,SMALL(IF("Página Web"='03.Muestra'!$D$8:$D$42,ROW('03.Muestra'!$F$8:$F$42)-MIN(ROW('03.Muestra'!$D$8:$D$42))+1,""),ROW()-398)),"")</f>
        <v>https://elecciones.comunidad.madrid/es/votar/donde-voto</v>
      </c>
      <c r="D407" s="99" t="s">
        <v>184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Voto presencial</v>
      </c>
      <c r="C408" s="85" t="str" cm="1">
        <f t="array" ref="C408">IFERROR(INDEX('03.Muestra'!$F$8:$F$42,SMALL(IF("Página Web"='03.Muestra'!$D$8:$D$42,ROW('03.Muestra'!$F$8:$F$42)-MIN(ROW('03.Muestra'!$D$8:$D$42))+1,""),ROW()-398)),"")</f>
        <v>https://elecciones.comunidad.madrid/es/voto-local-electoral/voto-presencial</v>
      </c>
      <c r="D408" s="99" t="s">
        <v>184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Ciudadanos temporalmente en el extranjero</v>
      </c>
      <c r="C409" s="85" t="str" cm="1">
        <f t="array" ref="C409">IFERROR(INDEX('03.Muestra'!$F$8:$F$42,SMALL(IF("Página Web"='03.Muestra'!$D$8:$D$42,ROW('03.Muestra'!$F$8:$F$42)-MIN(ROW('03.Muestra'!$D$8:$D$42))+1,""),ROW()-398)),"")</f>
        <v>https://elecciones.comunidad.madrid/es/voto-correo/solicitud-voto-temporalmente-ausentes</v>
      </c>
      <c r="D409" s="99" t="s">
        <v>184</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Nuevo votante</v>
      </c>
      <c r="C410" s="85" t="str" cm="1">
        <f t="array" ref="C410">IFERROR(INDEX('03.Muestra'!$F$8:$F$42,SMALL(IF("Página Web"='03.Muestra'!$D$8:$D$42,ROW('03.Muestra'!$F$8:$F$42)-MIN(ROW('03.Muestra'!$D$8:$D$42))+1,""),ROW()-398)),"")</f>
        <v>https://elecciones.comunidad.madrid/es/votar/nuevo-votante</v>
      </c>
      <c r="D410" s="99" t="s">
        <v>184</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Simulación método D'Hondt</v>
      </c>
      <c r="C411" s="85" t="str" cm="1">
        <f t="array" ref="C411">IFERROR(INDEX('03.Muestra'!$F$8:$F$42,SMALL(IF("Página Web"='03.Muestra'!$D$8:$D$42,ROW('03.Muestra'!$F$8:$F$42)-MIN(ROW('03.Muestra'!$D$8:$D$42))+1,""),ROW()-398)),"")</f>
        <v>https://elecciones.comunidad.madrid/es/informacion-util/simulacion-metodo-dhondt</v>
      </c>
      <c r="D411" s="99" t="s">
        <v>184</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Ley D'Hondt</v>
      </c>
      <c r="C412" s="85" t="str" cm="1">
        <f t="array" ref="C412">IFERROR(INDEX('03.Muestra'!$F$8:$F$42,SMALL(IF("Página Web"='03.Muestra'!$D$8:$D$42,ROW('03.Muestra'!$F$8:$F$42)-MIN(ROW('03.Muestra'!$D$8:$D$42))+1,""),ROW()-398)),"")</f>
        <v>https://elecciones.comunidad.madrid/es/resultados/ley_d_hondt</v>
      </c>
      <c r="D412" s="99" t="s">
        <v>184</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Voto por correo elector CERA en España</v>
      </c>
      <c r="C413" s="85" t="str" cm="1">
        <f t="array" ref="C413">IFERROR(INDEX('03.Muestra'!$F$8:$F$42,SMALL(IF("Página Web"='03.Muestra'!$D$8:$D$42,ROW('03.Muestra'!$F$8:$F$42)-MIN(ROW('03.Muestra'!$D$8:$D$42))+1,""),ROW()-398)),"")</f>
        <v>https://elecciones.comunidad.madrid/es/preguntas-frecuentes/voto-correo-electores-residentes-extranjero</v>
      </c>
      <c r="D413" s="99" t="s">
        <v>184</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https://elecciones.comunidad.madrid/es/buzon-de-sugerencias</v>
      </c>
      <c r="D414" s="99" t="s">
        <v>184</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Buscador</v>
      </c>
      <c r="C415" s="85" t="str" cm="1">
        <f t="array" ref="C415">IFERROR(INDEX('03.Muestra'!$F$8:$F$42,SMALL(IF("Página Web"='03.Muestra'!$D$8:$D$42,ROW('03.Muestra'!$F$8:$F$42)-MIN(ROW('03.Muestra'!$D$8:$D$42))+1,""),ROW()-398)),"")</f>
        <v>https://elecciones.comunidad.madrid/es/search?search_api_fulltext=partido</v>
      </c>
      <c r="D415" s="99" t="s">
        <v>184</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Legal-Privacidad</v>
      </c>
      <c r="C416" s="85" t="str" cm="1">
        <f t="array" ref="C416">IFERROR(INDEX('03.Muestra'!$F$8:$F$42,SMALL(IF("Página Web"='03.Muestra'!$D$8:$D$42,ROW('03.Muestra'!$F$8:$F$42)-MIN(ROW('03.Muestra'!$D$8:$D$42))+1,""),ROW()-398)),"")</f>
        <v>https://elecciones.comunidad.madrid/es/aviso-legal</v>
      </c>
      <c r="D416" s="99" t="s">
        <v>184</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https://elecciones.comunidad.madrid/es/sitemap</v>
      </c>
      <c r="D417" s="99" t="s">
        <v>184</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Declaracion Accesibilidad</v>
      </c>
      <c r="C418" s="85" t="str" cm="1">
        <f t="array" ref="C418">IFERROR(INDEX('03.Muestra'!$F$8:$F$42,SMALL(IF("Página Web"='03.Muestra'!$D$8:$D$42,ROW('03.Muestra'!$F$8:$F$42)-MIN(ROW('03.Muestra'!$D$8:$D$42))+1,""),ROW()-398)),"")</f>
        <v>https://elecciones.comunidad.madrid/es/accesibilidad</v>
      </c>
      <c r="D418" s="99" t="s">
        <v>184</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181</v>
      </c>
      <c r="B436" s="23" t="s">
        <v>173</v>
      </c>
      <c r="C436" s="24" t="s">
        <v>205</v>
      </c>
      <c r="D436" s="25" t="s">
        <v>183</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https://elecciones.comunidad.madrid/es</v>
      </c>
      <c r="D437" s="99" t="s">
        <v>184</v>
      </c>
      <c r="E437" s="79" t="str">
        <f t="shared" ref="E437:E471" si="22">IF(D437&lt;&gt;"",IF(AND(B437&lt;&gt;"",C437&lt;&gt;""),"","ERR"),"")</f>
        <v/>
      </c>
      <c r="F437" s="86" t="s">
        <v>185</v>
      </c>
      <c r="G437" s="87" t="s">
        <v>186</v>
      </c>
      <c r="H437" s="88" t="s">
        <v>184</v>
      </c>
      <c r="I437" s="89" t="s">
        <v>176</v>
      </c>
      <c r="J437" s="90" t="s">
        <v>174</v>
      </c>
      <c r="K437" s="181" t="s">
        <v>180</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Resultado Elecciones 28M 2023</v>
      </c>
      <c r="C438" s="85" t="str" cm="1">
        <f t="array" ref="C438">IFERROR(INDEX('03.Muestra'!$F$8:$F$42,SMALL(IF("Página Web"='03.Muestra'!$D$8:$D$42,ROW('03.Muestra'!$F$8:$F$42)-MIN(ROW('03.Muestra'!$D$8:$D$42))+1,""),ROW()-436)),"")</f>
        <v>https://elecciones.comunidad.madrid/es/resultados-elecciones-asamblea-madrid-28m-2023</v>
      </c>
      <c r="D438" s="99" t="s">
        <v>184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Normativa electoral</v>
      </c>
      <c r="C439" s="85" t="str" cm="1">
        <f t="array" ref="C439">IFERROR(INDEX('03.Muestra'!$F$8:$F$42,SMALL(IF("Página Web"='03.Muestra'!$D$8:$D$42,ROW('03.Muestra'!$F$8:$F$42)-MIN(ROW('03.Muestra'!$D$8:$D$42))+1,""),ROW()-436)),"")</f>
        <v>https://elecciones.comunidad.madrid/es/informacion-electoral/normativa-electoral</v>
      </c>
      <c r="D439" s="99" t="s">
        <v>184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Calendario electoral</v>
      </c>
      <c r="C440" s="85" t="str" cm="1">
        <f t="array" ref="C440">IFERROR(INDEX('03.Muestra'!$F$8:$F$42,SMALL(IF("Página Web"='03.Muestra'!$D$8:$D$42,ROW('03.Muestra'!$F$8:$F$42)-MIN(ROW('03.Muestra'!$D$8:$D$42))+1,""),ROW()-436)),"")</f>
        <v>https://elecciones.comunidad.madrid/es/informacion-electoral/calendario-electoral</v>
      </c>
      <c r="D440" s="99" t="s">
        <v>184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Direcciones y teléfonos</v>
      </c>
      <c r="C441" s="85" t="str" cm="1">
        <f t="array" ref="C441">IFERROR(INDEX('03.Muestra'!$F$8:$F$42,SMALL(IF("Página Web"='03.Muestra'!$D$8:$D$42,ROW('03.Muestra'!$F$8:$F$42)-MIN(ROW('03.Muestra'!$D$8:$D$42))+1,""),ROW()-436)),"")</f>
        <v>https://elecciones.comunidad.madrid/es/juntas-electorales/direcciones-telefonos</v>
      </c>
      <c r="D441" s="99" t="s">
        <v>184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Impresos electrónicos</v>
      </c>
      <c r="C442" s="85" t="str" cm="1">
        <f t="array" ref="C442">IFERROR(INDEX('03.Muestra'!$F$8:$F$42,SMALL(IF("Página Web"='03.Muestra'!$D$8:$D$42,ROW('03.Muestra'!$F$8:$F$42)-MIN(ROW('03.Muestra'!$D$8:$D$42))+1,""),ROW()-436)),"")</f>
        <v>https://elecciones.comunidad.madrid/es/formaciones-politicas/impresos-electronicos</v>
      </c>
      <c r="D442" s="99" t="s">
        <v>184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Listado de candidaturas</v>
      </c>
      <c r="C443" s="85" t="str" cm="1">
        <f t="array" ref="C443">IFERROR(INDEX('03.Muestra'!$F$8:$F$42,SMALL(IF("Página Web"='03.Muestra'!$D$8:$D$42,ROW('03.Muestra'!$F$8:$F$42)-MIN(ROW('03.Muestra'!$D$8:$D$42))+1,""),ROW()-436)),"")</f>
        <v>https://elecciones.comunidad.madrid/es/formaciones-politicas/listado-candidaturas-proclamadas</v>
      </c>
      <c r="D443" s="99" t="s">
        <v>184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Partido Feminista de España</v>
      </c>
      <c r="C444" s="85" t="str" cm="1">
        <f t="array" ref="C444">IFERROR(INDEX('03.Muestra'!$F$8:$F$42,SMALL(IF("Página Web"='03.Muestra'!$D$8:$D$42,ROW('03.Muestra'!$F$8:$F$42)-MIN(ROW('03.Muestra'!$D$8:$D$42))+1,""),ROW()-436)),"")</f>
        <v>https://elecciones.comunidad.madrid/es/formaciones-politicas/listado-candidaturas/partido-feminista-espana</v>
      </c>
      <c r="D444" s="99" t="s">
        <v>184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¿Dónde voto?</v>
      </c>
      <c r="C445" s="85" t="str" cm="1">
        <f t="array" ref="C445">IFERROR(INDEX('03.Muestra'!$F$8:$F$42,SMALL(IF("Página Web"='03.Muestra'!$D$8:$D$42,ROW('03.Muestra'!$F$8:$F$42)-MIN(ROW('03.Muestra'!$D$8:$D$42))+1,""),ROW()-436)),"")</f>
        <v>https://elecciones.comunidad.madrid/es/votar/donde-voto</v>
      </c>
      <c r="D445" s="99" t="s">
        <v>184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Voto presencial</v>
      </c>
      <c r="C446" s="85" t="str" cm="1">
        <f t="array" ref="C446">IFERROR(INDEX('03.Muestra'!$F$8:$F$42,SMALL(IF("Página Web"='03.Muestra'!$D$8:$D$42,ROW('03.Muestra'!$F$8:$F$42)-MIN(ROW('03.Muestra'!$D$8:$D$42))+1,""),ROW()-436)),"")</f>
        <v>https://elecciones.comunidad.madrid/es/voto-local-electoral/voto-presencial</v>
      </c>
      <c r="D446" s="99" t="s">
        <v>184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Ciudadanos temporalmente en el extranjero</v>
      </c>
      <c r="C447" s="85" t="str" cm="1">
        <f t="array" ref="C447">IFERROR(INDEX('03.Muestra'!$F$8:$F$42,SMALL(IF("Página Web"='03.Muestra'!$D$8:$D$42,ROW('03.Muestra'!$F$8:$F$42)-MIN(ROW('03.Muestra'!$D$8:$D$42))+1,""),ROW()-436)),"")</f>
        <v>https://elecciones.comunidad.madrid/es/voto-correo/solicitud-voto-temporalmente-ausentes</v>
      </c>
      <c r="D447" s="99" t="s">
        <v>184</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Nuevo votante</v>
      </c>
      <c r="C448" s="85" t="str" cm="1">
        <f t="array" ref="C448">IFERROR(INDEX('03.Muestra'!$F$8:$F$42,SMALL(IF("Página Web"='03.Muestra'!$D$8:$D$42,ROW('03.Muestra'!$F$8:$F$42)-MIN(ROW('03.Muestra'!$D$8:$D$42))+1,""),ROW()-436)),"")</f>
        <v>https://elecciones.comunidad.madrid/es/votar/nuevo-votante</v>
      </c>
      <c r="D448" s="99" t="s">
        <v>184</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Simulación método D'Hondt</v>
      </c>
      <c r="C449" s="85" t="str" cm="1">
        <f t="array" ref="C449">IFERROR(INDEX('03.Muestra'!$F$8:$F$42,SMALL(IF("Página Web"='03.Muestra'!$D$8:$D$42,ROW('03.Muestra'!$F$8:$F$42)-MIN(ROW('03.Muestra'!$D$8:$D$42))+1,""),ROW()-436)),"")</f>
        <v>https://elecciones.comunidad.madrid/es/informacion-util/simulacion-metodo-dhondt</v>
      </c>
      <c r="D449" s="99" t="s">
        <v>184</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Ley D'Hondt</v>
      </c>
      <c r="C450" s="85" t="str" cm="1">
        <f t="array" ref="C450">IFERROR(INDEX('03.Muestra'!$F$8:$F$42,SMALL(IF("Página Web"='03.Muestra'!$D$8:$D$42,ROW('03.Muestra'!$F$8:$F$42)-MIN(ROW('03.Muestra'!$D$8:$D$42))+1,""),ROW()-436)),"")</f>
        <v>https://elecciones.comunidad.madrid/es/resultados/ley_d_hondt</v>
      </c>
      <c r="D450" s="99" t="s">
        <v>184</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Voto por correo elector CERA en España</v>
      </c>
      <c r="C451" s="85" t="str" cm="1">
        <f t="array" ref="C451">IFERROR(INDEX('03.Muestra'!$F$8:$F$42,SMALL(IF("Página Web"='03.Muestra'!$D$8:$D$42,ROW('03.Muestra'!$F$8:$F$42)-MIN(ROW('03.Muestra'!$D$8:$D$42))+1,""),ROW()-436)),"")</f>
        <v>https://elecciones.comunidad.madrid/es/preguntas-frecuentes/voto-correo-electores-residentes-extranjero</v>
      </c>
      <c r="D451" s="99" t="s">
        <v>184</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https://elecciones.comunidad.madrid/es/buzon-de-sugerencias</v>
      </c>
      <c r="D452" s="99" t="s">
        <v>184</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Buscador</v>
      </c>
      <c r="C453" s="85" t="str" cm="1">
        <f t="array" ref="C453">IFERROR(INDEX('03.Muestra'!$F$8:$F$42,SMALL(IF("Página Web"='03.Muestra'!$D$8:$D$42,ROW('03.Muestra'!$F$8:$F$42)-MIN(ROW('03.Muestra'!$D$8:$D$42))+1,""),ROW()-436)),"")</f>
        <v>https://elecciones.comunidad.madrid/es/search?search_api_fulltext=partido</v>
      </c>
      <c r="D453" s="99" t="s">
        <v>184</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Legal-Privacidad</v>
      </c>
      <c r="C454" s="85" t="str" cm="1">
        <f t="array" ref="C454">IFERROR(INDEX('03.Muestra'!$F$8:$F$42,SMALL(IF("Página Web"='03.Muestra'!$D$8:$D$42,ROW('03.Muestra'!$F$8:$F$42)-MIN(ROW('03.Muestra'!$D$8:$D$42))+1,""),ROW()-436)),"")</f>
        <v>https://elecciones.comunidad.madrid/es/aviso-legal</v>
      </c>
      <c r="D454" s="99" t="s">
        <v>184</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https://elecciones.comunidad.madrid/es/sitemap</v>
      </c>
      <c r="D455" s="99" t="s">
        <v>184</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Declaracion Accesibilidad</v>
      </c>
      <c r="C456" s="85" t="str" cm="1">
        <f t="array" ref="C456">IFERROR(INDEX('03.Muestra'!$F$8:$F$42,SMALL(IF("Página Web"='03.Muestra'!$D$8:$D$42,ROW('03.Muestra'!$F$8:$F$42)-MIN(ROW('03.Muestra'!$D$8:$D$42))+1,""),ROW()-436)),"")</f>
        <v>https://elecciones.comunidad.madrid/es/accesibilidad</v>
      </c>
      <c r="D456" s="99" t="s">
        <v>184</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181</v>
      </c>
      <c r="B474" s="23" t="s">
        <v>173</v>
      </c>
      <c r="C474" s="24" t="s">
        <v>206</v>
      </c>
      <c r="D474" s="25" t="s">
        <v>183</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https://elecciones.comunidad.madrid/es</v>
      </c>
      <c r="D475" s="99" t="s">
        <v>184</v>
      </c>
      <c r="E475" s="79" t="str">
        <f t="shared" ref="E475:E509" si="24">IF(D475&lt;&gt;"",IF(AND(B475&lt;&gt;"",C475&lt;&gt;""),"","ERR"),"")</f>
        <v/>
      </c>
      <c r="F475" s="86" t="s">
        <v>185</v>
      </c>
      <c r="G475" s="87" t="s">
        <v>186</v>
      </c>
      <c r="H475" s="88" t="s">
        <v>184</v>
      </c>
      <c r="I475" s="89" t="s">
        <v>176</v>
      </c>
      <c r="J475" s="90" t="s">
        <v>174</v>
      </c>
      <c r="K475" s="181" t="s">
        <v>180</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Resultado Elecciones 28M 2023</v>
      </c>
      <c r="C476" s="85" t="str" cm="1">
        <f t="array" ref="C476">IFERROR(INDEX('03.Muestra'!$F$8:$F$42,SMALL(IF("Página Web"='03.Muestra'!$D$8:$D$42,ROW('03.Muestra'!$F$8:$F$42)-MIN(ROW('03.Muestra'!$D$8:$D$42))+1,""),ROW()-474)),"")</f>
        <v>https://elecciones.comunidad.madrid/es/resultados-elecciones-asamblea-madrid-28m-2023</v>
      </c>
      <c r="D476" s="99" t="s">
        <v>184</v>
      </c>
      <c r="E476" s="79" t="str">
        <f t="shared" si="24"/>
        <v/>
      </c>
      <c r="F476" s="91">
        <f ca="1">COUNTIF($D475:INDIRECT("$D" &amp;  SUM(ROW()-1,'03.Muestra'!$D$45)-1),F475)</f>
        <v>0</v>
      </c>
      <c r="G476" s="91">
        <f ca="1">COUNTIF($D475:INDIRECT("$D" &amp;  SUM(ROW()-1,'03.Muestra'!$D$45)-1),G475)</f>
        <v>0</v>
      </c>
      <c r="H476" s="91">
        <f ca="1">COUNTIF($D475:INDIRECT("$D" &amp;  SUM(ROW()-1,'03.Muestra'!$D$45)-1),H475)</f>
        <v>20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Normativa electoral</v>
      </c>
      <c r="C477" s="85" t="str" cm="1">
        <f t="array" ref="C477">IFERROR(INDEX('03.Muestra'!$F$8:$F$42,SMALL(IF("Página Web"='03.Muestra'!$D$8:$D$42,ROW('03.Muestra'!$F$8:$F$42)-MIN(ROW('03.Muestra'!$D$8:$D$42))+1,""),ROW()-474)),"")</f>
        <v>https://elecciones.comunidad.madrid/es/informacion-electoral/normativa-electoral</v>
      </c>
      <c r="D477" s="99" t="s">
        <v>184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Calendario electoral</v>
      </c>
      <c r="C478" s="85" t="str" cm="1">
        <f t="array" ref="C478">IFERROR(INDEX('03.Muestra'!$F$8:$F$42,SMALL(IF("Página Web"='03.Muestra'!$D$8:$D$42,ROW('03.Muestra'!$F$8:$F$42)-MIN(ROW('03.Muestra'!$D$8:$D$42))+1,""),ROW()-474)),"")</f>
        <v>https://elecciones.comunidad.madrid/es/informacion-electoral/calendario-electoral</v>
      </c>
      <c r="D478" s="99" t="s">
        <v>184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Direcciones y teléfonos</v>
      </c>
      <c r="C479" s="85" t="str" cm="1">
        <f t="array" ref="C479">IFERROR(INDEX('03.Muestra'!$F$8:$F$42,SMALL(IF("Página Web"='03.Muestra'!$D$8:$D$42,ROW('03.Muestra'!$F$8:$F$42)-MIN(ROW('03.Muestra'!$D$8:$D$42))+1,""),ROW()-474)),"")</f>
        <v>https://elecciones.comunidad.madrid/es/juntas-electorales/direcciones-telefonos</v>
      </c>
      <c r="D479" s="99" t="s">
        <v>184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Impresos electrónicos</v>
      </c>
      <c r="C480" s="85" t="str" cm="1">
        <f t="array" ref="C480">IFERROR(INDEX('03.Muestra'!$F$8:$F$42,SMALL(IF("Página Web"='03.Muestra'!$D$8:$D$42,ROW('03.Muestra'!$F$8:$F$42)-MIN(ROW('03.Muestra'!$D$8:$D$42))+1,""),ROW()-474)),"")</f>
        <v>https://elecciones.comunidad.madrid/es/formaciones-politicas/impresos-electronicos</v>
      </c>
      <c r="D480" s="99" t="s">
        <v>184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Listado de candidaturas</v>
      </c>
      <c r="C481" s="85" t="str" cm="1">
        <f t="array" ref="C481">IFERROR(INDEX('03.Muestra'!$F$8:$F$42,SMALL(IF("Página Web"='03.Muestra'!$D$8:$D$42,ROW('03.Muestra'!$F$8:$F$42)-MIN(ROW('03.Muestra'!$D$8:$D$42))+1,""),ROW()-474)),"")</f>
        <v>https://elecciones.comunidad.madrid/es/formaciones-politicas/listado-candidaturas-proclamadas</v>
      </c>
      <c r="D481" s="99" t="s">
        <v>184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Partido Feminista de España</v>
      </c>
      <c r="C482" s="85" t="str" cm="1">
        <f t="array" ref="C482">IFERROR(INDEX('03.Muestra'!$F$8:$F$42,SMALL(IF("Página Web"='03.Muestra'!$D$8:$D$42,ROW('03.Muestra'!$F$8:$F$42)-MIN(ROW('03.Muestra'!$D$8:$D$42))+1,""),ROW()-474)),"")</f>
        <v>https://elecciones.comunidad.madrid/es/formaciones-politicas/listado-candidaturas/partido-feminista-espana</v>
      </c>
      <c r="D482" s="99" t="s">
        <v>184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¿Dónde voto?</v>
      </c>
      <c r="C483" s="85" t="str" cm="1">
        <f t="array" ref="C483">IFERROR(INDEX('03.Muestra'!$F$8:$F$42,SMALL(IF("Página Web"='03.Muestra'!$D$8:$D$42,ROW('03.Muestra'!$F$8:$F$42)-MIN(ROW('03.Muestra'!$D$8:$D$42))+1,""),ROW()-474)),"")</f>
        <v>https://elecciones.comunidad.madrid/es/votar/donde-voto</v>
      </c>
      <c r="D483" s="99" t="s">
        <v>184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Voto presencial</v>
      </c>
      <c r="C484" s="85" t="str" cm="1">
        <f t="array" ref="C484">IFERROR(INDEX('03.Muestra'!$F$8:$F$42,SMALL(IF("Página Web"='03.Muestra'!$D$8:$D$42,ROW('03.Muestra'!$F$8:$F$42)-MIN(ROW('03.Muestra'!$D$8:$D$42))+1,""),ROW()-474)),"")</f>
        <v>https://elecciones.comunidad.madrid/es/voto-local-electoral/voto-presencial</v>
      </c>
      <c r="D484" s="99" t="s">
        <v>184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Ciudadanos temporalmente en el extranjero</v>
      </c>
      <c r="C485" s="85" t="str" cm="1">
        <f t="array" ref="C485">IFERROR(INDEX('03.Muestra'!$F$8:$F$42,SMALL(IF("Página Web"='03.Muestra'!$D$8:$D$42,ROW('03.Muestra'!$F$8:$F$42)-MIN(ROW('03.Muestra'!$D$8:$D$42))+1,""),ROW()-474)),"")</f>
        <v>https://elecciones.comunidad.madrid/es/voto-correo/solicitud-voto-temporalmente-ausentes</v>
      </c>
      <c r="D485" s="99" t="s">
        <v>184</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Nuevo votante</v>
      </c>
      <c r="C486" s="85" t="str" cm="1">
        <f t="array" ref="C486">IFERROR(INDEX('03.Muestra'!$F$8:$F$42,SMALL(IF("Página Web"='03.Muestra'!$D$8:$D$42,ROW('03.Muestra'!$F$8:$F$42)-MIN(ROW('03.Muestra'!$D$8:$D$42))+1,""),ROW()-474)),"")</f>
        <v>https://elecciones.comunidad.madrid/es/votar/nuevo-votante</v>
      </c>
      <c r="D486" s="99" t="s">
        <v>184</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Simulación método D'Hondt</v>
      </c>
      <c r="C487" s="85" t="str" cm="1">
        <f t="array" ref="C487">IFERROR(INDEX('03.Muestra'!$F$8:$F$42,SMALL(IF("Página Web"='03.Muestra'!$D$8:$D$42,ROW('03.Muestra'!$F$8:$F$42)-MIN(ROW('03.Muestra'!$D$8:$D$42))+1,""),ROW()-474)),"")</f>
        <v>https://elecciones.comunidad.madrid/es/informacion-util/simulacion-metodo-dhondt</v>
      </c>
      <c r="D487" s="99" t="s">
        <v>184</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Ley D'Hondt</v>
      </c>
      <c r="C488" s="85" t="str" cm="1">
        <f t="array" ref="C488">IFERROR(INDEX('03.Muestra'!$F$8:$F$42,SMALL(IF("Página Web"='03.Muestra'!$D$8:$D$42,ROW('03.Muestra'!$F$8:$F$42)-MIN(ROW('03.Muestra'!$D$8:$D$42))+1,""),ROW()-474)),"")</f>
        <v>https://elecciones.comunidad.madrid/es/resultados/ley_d_hondt</v>
      </c>
      <c r="D488" s="99" t="s">
        <v>184</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Voto por correo elector CERA en España</v>
      </c>
      <c r="C489" s="85" t="str" cm="1">
        <f t="array" ref="C489">IFERROR(INDEX('03.Muestra'!$F$8:$F$42,SMALL(IF("Página Web"='03.Muestra'!$D$8:$D$42,ROW('03.Muestra'!$F$8:$F$42)-MIN(ROW('03.Muestra'!$D$8:$D$42))+1,""),ROW()-474)),"")</f>
        <v>https://elecciones.comunidad.madrid/es/preguntas-frecuentes/voto-correo-electores-residentes-extranjero</v>
      </c>
      <c r="D489" s="99" t="s">
        <v>184</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https://elecciones.comunidad.madrid/es/buzon-de-sugerencias</v>
      </c>
      <c r="D490" s="99" t="s">
        <v>184</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Buscador</v>
      </c>
      <c r="C491" s="85" t="str" cm="1">
        <f t="array" ref="C491">IFERROR(INDEX('03.Muestra'!$F$8:$F$42,SMALL(IF("Página Web"='03.Muestra'!$D$8:$D$42,ROW('03.Muestra'!$F$8:$F$42)-MIN(ROW('03.Muestra'!$D$8:$D$42))+1,""),ROW()-474)),"")</f>
        <v>https://elecciones.comunidad.madrid/es/search?search_api_fulltext=partido</v>
      </c>
      <c r="D491" s="99" t="s">
        <v>184</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Legal-Privacidad</v>
      </c>
      <c r="C492" s="85" t="str" cm="1">
        <f t="array" ref="C492">IFERROR(INDEX('03.Muestra'!$F$8:$F$42,SMALL(IF("Página Web"='03.Muestra'!$D$8:$D$42,ROW('03.Muestra'!$F$8:$F$42)-MIN(ROW('03.Muestra'!$D$8:$D$42))+1,""),ROW()-474)),"")</f>
        <v>https://elecciones.comunidad.madrid/es/aviso-legal</v>
      </c>
      <c r="D492" s="99" t="s">
        <v>184</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https://elecciones.comunidad.madrid/es/sitemap</v>
      </c>
      <c r="D493" s="99" t="s">
        <v>184</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Declaracion Accesibilidad</v>
      </c>
      <c r="C494" s="85" t="str" cm="1">
        <f t="array" ref="C494">IFERROR(INDEX('03.Muestra'!$F$8:$F$42,SMALL(IF("Página Web"='03.Muestra'!$D$8:$D$42,ROW('03.Muestra'!$F$8:$F$42)-MIN(ROW('03.Muestra'!$D$8:$D$42))+1,""),ROW()-474)),"")</f>
        <v>https://elecciones.comunidad.madrid/es/accesibilidad</v>
      </c>
      <c r="D494" s="99" t="s">
        <v>184</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181</v>
      </c>
      <c r="B512" s="23" t="s">
        <v>173</v>
      </c>
      <c r="C512" s="24" t="s">
        <v>207</v>
      </c>
      <c r="D512" s="25" t="s">
        <v>183</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https://elecciones.comunidad.madrid/es</v>
      </c>
      <c r="D513" s="99" t="s">
        <v>184</v>
      </c>
      <c r="E513" s="79" t="str">
        <f t="shared" ref="E513:E547" si="26">IF(D513&lt;&gt;"",IF(AND(B513&lt;&gt;"",C513&lt;&gt;""),"","ERR"),"")</f>
        <v/>
      </c>
      <c r="F513" s="86" t="s">
        <v>185</v>
      </c>
      <c r="G513" s="87" t="s">
        <v>186</v>
      </c>
      <c r="H513" s="88" t="s">
        <v>184</v>
      </c>
      <c r="I513" s="89" t="s">
        <v>176</v>
      </c>
      <c r="J513" s="90" t="s">
        <v>174</v>
      </c>
      <c r="K513" s="181" t="s">
        <v>180</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Resultado Elecciones 28M 2023</v>
      </c>
      <c r="C514" s="85" t="str" cm="1">
        <f t="array" ref="C514">IFERROR(INDEX('03.Muestra'!$F$8:$F$42,SMALL(IF("Página Web"='03.Muestra'!$D$8:$D$42,ROW('03.Muestra'!$F$8:$F$42)-MIN(ROW('03.Muestra'!$D$8:$D$42))+1,""),ROW()-512)),"")</f>
        <v>https://elecciones.comunidad.madrid/es/resultados-elecciones-asamblea-madrid-28m-2023</v>
      </c>
      <c r="D514" s="99" t="s">
        <v>184</v>
      </c>
      <c r="E514" s="79" t="str">
        <f t="shared" si="26"/>
        <v/>
      </c>
      <c r="F514" s="91">
        <f ca="1">COUNTIF($D513:INDIRECT("$D" &amp;  SUM(ROW()-1,'03.Muestra'!$D$45)-1),F513)</f>
        <v>0</v>
      </c>
      <c r="G514" s="91">
        <f ca="1">COUNTIF($D513:INDIRECT("$D" &amp;  SUM(ROW()-1,'03.Muestra'!$D$45)-1),G513)</f>
        <v>0</v>
      </c>
      <c r="H514" s="91">
        <f ca="1">COUNTIF($D513:INDIRECT("$D" &amp;  SUM(ROW()-1,'03.Muestra'!$D$45)-1),H513)</f>
        <v>20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Normativa electoral</v>
      </c>
      <c r="C515" s="85" t="str" cm="1">
        <f t="array" ref="C515">IFERROR(INDEX('03.Muestra'!$F$8:$F$42,SMALL(IF("Página Web"='03.Muestra'!$D$8:$D$42,ROW('03.Muestra'!$F$8:$F$42)-MIN(ROW('03.Muestra'!$D$8:$D$42))+1,""),ROW()-512)),"")</f>
        <v>https://elecciones.comunidad.madrid/es/informacion-electoral/normativa-electoral</v>
      </c>
      <c r="D515" s="99" t="s">
        <v>184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Calendario electoral</v>
      </c>
      <c r="C516" s="85" t="str" cm="1">
        <f t="array" ref="C516">IFERROR(INDEX('03.Muestra'!$F$8:$F$42,SMALL(IF("Página Web"='03.Muestra'!$D$8:$D$42,ROW('03.Muestra'!$F$8:$F$42)-MIN(ROW('03.Muestra'!$D$8:$D$42))+1,""),ROW()-512)),"")</f>
        <v>https://elecciones.comunidad.madrid/es/informacion-electoral/calendario-electoral</v>
      </c>
      <c r="D516" s="99" t="s">
        <v>184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Direcciones y teléfonos</v>
      </c>
      <c r="C517" s="85" t="str" cm="1">
        <f t="array" ref="C517">IFERROR(INDEX('03.Muestra'!$F$8:$F$42,SMALL(IF("Página Web"='03.Muestra'!$D$8:$D$42,ROW('03.Muestra'!$F$8:$F$42)-MIN(ROW('03.Muestra'!$D$8:$D$42))+1,""),ROW()-512)),"")</f>
        <v>https://elecciones.comunidad.madrid/es/juntas-electorales/direcciones-telefonos</v>
      </c>
      <c r="D517" s="99" t="s">
        <v>184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Impresos electrónicos</v>
      </c>
      <c r="C518" s="85" t="str" cm="1">
        <f t="array" ref="C518">IFERROR(INDEX('03.Muestra'!$F$8:$F$42,SMALL(IF("Página Web"='03.Muestra'!$D$8:$D$42,ROW('03.Muestra'!$F$8:$F$42)-MIN(ROW('03.Muestra'!$D$8:$D$42))+1,""),ROW()-512)),"")</f>
        <v>https://elecciones.comunidad.madrid/es/formaciones-politicas/impresos-electronicos</v>
      </c>
      <c r="D518" s="99" t="s">
        <v>184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Listado de candidaturas</v>
      </c>
      <c r="C519" s="85" t="str" cm="1">
        <f t="array" ref="C519">IFERROR(INDEX('03.Muestra'!$F$8:$F$42,SMALL(IF("Página Web"='03.Muestra'!$D$8:$D$42,ROW('03.Muestra'!$F$8:$F$42)-MIN(ROW('03.Muestra'!$D$8:$D$42))+1,""),ROW()-512)),"")</f>
        <v>https://elecciones.comunidad.madrid/es/formaciones-politicas/listado-candidaturas-proclamadas</v>
      </c>
      <c r="D519" s="99" t="s">
        <v>184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Partido Feminista de España</v>
      </c>
      <c r="C520" s="85" t="str" cm="1">
        <f t="array" ref="C520">IFERROR(INDEX('03.Muestra'!$F$8:$F$42,SMALL(IF("Página Web"='03.Muestra'!$D$8:$D$42,ROW('03.Muestra'!$F$8:$F$42)-MIN(ROW('03.Muestra'!$D$8:$D$42))+1,""),ROW()-512)),"")</f>
        <v>https://elecciones.comunidad.madrid/es/formaciones-politicas/listado-candidaturas/partido-feminista-espana</v>
      </c>
      <c r="D520" s="99" t="s">
        <v>184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¿Dónde voto?</v>
      </c>
      <c r="C521" s="85" t="str" cm="1">
        <f t="array" ref="C521">IFERROR(INDEX('03.Muestra'!$F$8:$F$42,SMALL(IF("Página Web"='03.Muestra'!$D$8:$D$42,ROW('03.Muestra'!$F$8:$F$42)-MIN(ROW('03.Muestra'!$D$8:$D$42))+1,""),ROW()-512)),"")</f>
        <v>https://elecciones.comunidad.madrid/es/votar/donde-voto</v>
      </c>
      <c r="D521" s="99" t="s">
        <v>184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Voto presencial</v>
      </c>
      <c r="C522" s="85" t="str" cm="1">
        <f t="array" ref="C522">IFERROR(INDEX('03.Muestra'!$F$8:$F$42,SMALL(IF("Página Web"='03.Muestra'!$D$8:$D$42,ROW('03.Muestra'!$F$8:$F$42)-MIN(ROW('03.Muestra'!$D$8:$D$42))+1,""),ROW()-512)),"")</f>
        <v>https://elecciones.comunidad.madrid/es/voto-local-electoral/voto-presencial</v>
      </c>
      <c r="D522" s="99" t="s">
        <v>184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Ciudadanos temporalmente en el extranjero</v>
      </c>
      <c r="C523" s="85" t="str" cm="1">
        <f t="array" ref="C523">IFERROR(INDEX('03.Muestra'!$F$8:$F$42,SMALL(IF("Página Web"='03.Muestra'!$D$8:$D$42,ROW('03.Muestra'!$F$8:$F$42)-MIN(ROW('03.Muestra'!$D$8:$D$42))+1,""),ROW()-512)),"")</f>
        <v>https://elecciones.comunidad.madrid/es/voto-correo/solicitud-voto-temporalmente-ausentes</v>
      </c>
      <c r="D523" s="99" t="s">
        <v>184</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Nuevo votante</v>
      </c>
      <c r="C524" s="85" t="str" cm="1">
        <f t="array" ref="C524">IFERROR(INDEX('03.Muestra'!$F$8:$F$42,SMALL(IF("Página Web"='03.Muestra'!$D$8:$D$42,ROW('03.Muestra'!$F$8:$F$42)-MIN(ROW('03.Muestra'!$D$8:$D$42))+1,""),ROW()-512)),"")</f>
        <v>https://elecciones.comunidad.madrid/es/votar/nuevo-votante</v>
      </c>
      <c r="D524" s="99" t="s">
        <v>184</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Simulación método D'Hondt</v>
      </c>
      <c r="C525" s="85" t="str" cm="1">
        <f t="array" ref="C525">IFERROR(INDEX('03.Muestra'!$F$8:$F$42,SMALL(IF("Página Web"='03.Muestra'!$D$8:$D$42,ROW('03.Muestra'!$F$8:$F$42)-MIN(ROW('03.Muestra'!$D$8:$D$42))+1,""),ROW()-512)),"")</f>
        <v>https://elecciones.comunidad.madrid/es/informacion-util/simulacion-metodo-dhondt</v>
      </c>
      <c r="D525" s="99" t="s">
        <v>184</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Ley D'Hondt</v>
      </c>
      <c r="C526" s="85" t="str" cm="1">
        <f t="array" ref="C526">IFERROR(INDEX('03.Muestra'!$F$8:$F$42,SMALL(IF("Página Web"='03.Muestra'!$D$8:$D$42,ROW('03.Muestra'!$F$8:$F$42)-MIN(ROW('03.Muestra'!$D$8:$D$42))+1,""),ROW()-512)),"")</f>
        <v>https://elecciones.comunidad.madrid/es/resultados/ley_d_hondt</v>
      </c>
      <c r="D526" s="99" t="s">
        <v>184</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Voto por correo elector CERA en España</v>
      </c>
      <c r="C527" s="85" t="str" cm="1">
        <f t="array" ref="C527">IFERROR(INDEX('03.Muestra'!$F$8:$F$42,SMALL(IF("Página Web"='03.Muestra'!$D$8:$D$42,ROW('03.Muestra'!$F$8:$F$42)-MIN(ROW('03.Muestra'!$D$8:$D$42))+1,""),ROW()-512)),"")</f>
        <v>https://elecciones.comunidad.madrid/es/preguntas-frecuentes/voto-correo-electores-residentes-extranjero</v>
      </c>
      <c r="D527" s="99" t="s">
        <v>184</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https://elecciones.comunidad.madrid/es/buzon-de-sugerencias</v>
      </c>
      <c r="D528" s="99" t="s">
        <v>184</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Buscador</v>
      </c>
      <c r="C529" s="85" t="str" cm="1">
        <f t="array" ref="C529">IFERROR(INDEX('03.Muestra'!$F$8:$F$42,SMALL(IF("Página Web"='03.Muestra'!$D$8:$D$42,ROW('03.Muestra'!$F$8:$F$42)-MIN(ROW('03.Muestra'!$D$8:$D$42))+1,""),ROW()-512)),"")</f>
        <v>https://elecciones.comunidad.madrid/es/search?search_api_fulltext=partido</v>
      </c>
      <c r="D529" s="99" t="s">
        <v>184</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Legal-Privacidad</v>
      </c>
      <c r="C530" s="85" t="str" cm="1">
        <f t="array" ref="C530">IFERROR(INDEX('03.Muestra'!$F$8:$F$42,SMALL(IF("Página Web"='03.Muestra'!$D$8:$D$42,ROW('03.Muestra'!$F$8:$F$42)-MIN(ROW('03.Muestra'!$D$8:$D$42))+1,""),ROW()-512)),"")</f>
        <v>https://elecciones.comunidad.madrid/es/aviso-legal</v>
      </c>
      <c r="D530" s="99" t="s">
        <v>184</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https://elecciones.comunidad.madrid/es/sitemap</v>
      </c>
      <c r="D531" s="99" t="s">
        <v>184</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Declaracion Accesibilidad</v>
      </c>
      <c r="C532" s="85" t="str" cm="1">
        <f t="array" ref="C532">IFERROR(INDEX('03.Muestra'!$F$8:$F$42,SMALL(IF("Página Web"='03.Muestra'!$D$8:$D$42,ROW('03.Muestra'!$F$8:$F$42)-MIN(ROW('03.Muestra'!$D$8:$D$42))+1,""),ROW()-512)),"")</f>
        <v>https://elecciones.comunidad.madrid/es/accesibilidad</v>
      </c>
      <c r="D532" s="99" t="s">
        <v>184</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181</v>
      </c>
      <c r="B550" s="23" t="s">
        <v>173</v>
      </c>
      <c r="C550" s="24" t="s">
        <v>208</v>
      </c>
      <c r="D550" s="25" t="s">
        <v>183</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https://elecciones.comunidad.madrid/es</v>
      </c>
      <c r="D551" s="99" t="s">
        <v>184</v>
      </c>
      <c r="E551" s="79" t="str">
        <f t="shared" ref="E551:E585" si="28">IF(D551&lt;&gt;"",IF(AND(B551&lt;&gt;"",C551&lt;&gt;""),"","ERR"),"")</f>
        <v/>
      </c>
      <c r="F551" s="86" t="s">
        <v>185</v>
      </c>
      <c r="G551" s="87" t="s">
        <v>186</v>
      </c>
      <c r="H551" s="88" t="s">
        <v>184</v>
      </c>
      <c r="I551" s="89" t="s">
        <v>176</v>
      </c>
      <c r="J551" s="90" t="s">
        <v>174</v>
      </c>
      <c r="K551" s="181" t="s">
        <v>180</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Resultado Elecciones 28M 2023</v>
      </c>
      <c r="C552" s="85" t="str" cm="1">
        <f t="array" ref="C552">IFERROR(INDEX('03.Muestra'!$F$8:$F$42,SMALL(IF("Página Web"='03.Muestra'!$D$8:$D$42,ROW('03.Muestra'!$F$8:$F$42)-MIN(ROW('03.Muestra'!$D$8:$D$42))+1,""),ROW()-550)),"")</f>
        <v>https://elecciones.comunidad.madrid/es/resultados-elecciones-asamblea-madrid-28m-2023</v>
      </c>
      <c r="D552" s="99" t="s">
        <v>184</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Normativa electoral</v>
      </c>
      <c r="C553" s="85" t="str" cm="1">
        <f t="array" ref="C553">IFERROR(INDEX('03.Muestra'!$F$8:$F$42,SMALL(IF("Página Web"='03.Muestra'!$D$8:$D$42,ROW('03.Muestra'!$F$8:$F$42)-MIN(ROW('03.Muestra'!$D$8:$D$42))+1,""),ROW()-550)),"")</f>
        <v>https://elecciones.comunidad.madrid/es/informacion-electoral/normativa-electoral</v>
      </c>
      <c r="D553" s="99" t="s">
        <v>184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Calendario electoral</v>
      </c>
      <c r="C554" s="85" t="str" cm="1">
        <f t="array" ref="C554">IFERROR(INDEX('03.Muestra'!$F$8:$F$42,SMALL(IF("Página Web"='03.Muestra'!$D$8:$D$42,ROW('03.Muestra'!$F$8:$F$42)-MIN(ROW('03.Muestra'!$D$8:$D$42))+1,""),ROW()-550)),"")</f>
        <v>https://elecciones.comunidad.madrid/es/informacion-electoral/calendario-electoral</v>
      </c>
      <c r="D554" s="99" t="s">
        <v>184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Direcciones y teléfonos</v>
      </c>
      <c r="C555" s="85" t="str" cm="1">
        <f t="array" ref="C555">IFERROR(INDEX('03.Muestra'!$F$8:$F$42,SMALL(IF("Página Web"='03.Muestra'!$D$8:$D$42,ROW('03.Muestra'!$F$8:$F$42)-MIN(ROW('03.Muestra'!$D$8:$D$42))+1,""),ROW()-550)),"")</f>
        <v>https://elecciones.comunidad.madrid/es/juntas-electorales/direcciones-telefonos</v>
      </c>
      <c r="D555" s="99" t="s">
        <v>184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Impresos electrónicos</v>
      </c>
      <c r="C556" s="85" t="str" cm="1">
        <f t="array" ref="C556">IFERROR(INDEX('03.Muestra'!$F$8:$F$42,SMALL(IF("Página Web"='03.Muestra'!$D$8:$D$42,ROW('03.Muestra'!$F$8:$F$42)-MIN(ROW('03.Muestra'!$D$8:$D$42))+1,""),ROW()-550)),"")</f>
        <v>https://elecciones.comunidad.madrid/es/formaciones-politicas/impresos-electronicos</v>
      </c>
      <c r="D556" s="99" t="s">
        <v>184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Listado de candidaturas</v>
      </c>
      <c r="C557" s="85" t="str" cm="1">
        <f t="array" ref="C557">IFERROR(INDEX('03.Muestra'!$F$8:$F$42,SMALL(IF("Página Web"='03.Muestra'!$D$8:$D$42,ROW('03.Muestra'!$F$8:$F$42)-MIN(ROW('03.Muestra'!$D$8:$D$42))+1,""),ROW()-550)),"")</f>
        <v>https://elecciones.comunidad.madrid/es/formaciones-politicas/listado-candidaturas-proclamadas</v>
      </c>
      <c r="D557" s="99" t="s">
        <v>184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Partido Feminista de España</v>
      </c>
      <c r="C558" s="85" t="str" cm="1">
        <f t="array" ref="C558">IFERROR(INDEX('03.Muestra'!$F$8:$F$42,SMALL(IF("Página Web"='03.Muestra'!$D$8:$D$42,ROW('03.Muestra'!$F$8:$F$42)-MIN(ROW('03.Muestra'!$D$8:$D$42))+1,""),ROW()-550)),"")</f>
        <v>https://elecciones.comunidad.madrid/es/formaciones-politicas/listado-candidaturas/partido-feminista-espana</v>
      </c>
      <c r="D558" s="99" t="s">
        <v>184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¿Dónde voto?</v>
      </c>
      <c r="C559" s="85" t="str" cm="1">
        <f t="array" ref="C559">IFERROR(INDEX('03.Muestra'!$F$8:$F$42,SMALL(IF("Página Web"='03.Muestra'!$D$8:$D$42,ROW('03.Muestra'!$F$8:$F$42)-MIN(ROW('03.Muestra'!$D$8:$D$42))+1,""),ROW()-550)),"")</f>
        <v>https://elecciones.comunidad.madrid/es/votar/donde-voto</v>
      </c>
      <c r="D559" s="99" t="s">
        <v>184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Voto presencial</v>
      </c>
      <c r="C560" s="85" t="str" cm="1">
        <f t="array" ref="C560">IFERROR(INDEX('03.Muestra'!$F$8:$F$42,SMALL(IF("Página Web"='03.Muestra'!$D$8:$D$42,ROW('03.Muestra'!$F$8:$F$42)-MIN(ROW('03.Muestra'!$D$8:$D$42))+1,""),ROW()-550)),"")</f>
        <v>https://elecciones.comunidad.madrid/es/voto-local-electoral/voto-presencial</v>
      </c>
      <c r="D560" s="99" t="s">
        <v>184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Ciudadanos temporalmente en el extranjero</v>
      </c>
      <c r="C561" s="85" t="str" cm="1">
        <f t="array" ref="C561">IFERROR(INDEX('03.Muestra'!$F$8:$F$42,SMALL(IF("Página Web"='03.Muestra'!$D$8:$D$42,ROW('03.Muestra'!$F$8:$F$42)-MIN(ROW('03.Muestra'!$D$8:$D$42))+1,""),ROW()-550)),"")</f>
        <v>https://elecciones.comunidad.madrid/es/voto-correo/solicitud-voto-temporalmente-ausentes</v>
      </c>
      <c r="D561" s="99" t="s">
        <v>184</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Nuevo votante</v>
      </c>
      <c r="C562" s="85" t="str" cm="1">
        <f t="array" ref="C562">IFERROR(INDEX('03.Muestra'!$F$8:$F$42,SMALL(IF("Página Web"='03.Muestra'!$D$8:$D$42,ROW('03.Muestra'!$F$8:$F$42)-MIN(ROW('03.Muestra'!$D$8:$D$42))+1,""),ROW()-550)),"")</f>
        <v>https://elecciones.comunidad.madrid/es/votar/nuevo-votante</v>
      </c>
      <c r="D562" s="99" t="s">
        <v>184</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Simulación método D'Hondt</v>
      </c>
      <c r="C563" s="85" t="str" cm="1">
        <f t="array" ref="C563">IFERROR(INDEX('03.Muestra'!$F$8:$F$42,SMALL(IF("Página Web"='03.Muestra'!$D$8:$D$42,ROW('03.Muestra'!$F$8:$F$42)-MIN(ROW('03.Muestra'!$D$8:$D$42))+1,""),ROW()-550)),"")</f>
        <v>https://elecciones.comunidad.madrid/es/informacion-util/simulacion-metodo-dhondt</v>
      </c>
      <c r="D563" s="99" t="s">
        <v>184</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Ley D'Hondt</v>
      </c>
      <c r="C564" s="85" t="str" cm="1">
        <f t="array" ref="C564">IFERROR(INDEX('03.Muestra'!$F$8:$F$42,SMALL(IF("Página Web"='03.Muestra'!$D$8:$D$42,ROW('03.Muestra'!$F$8:$F$42)-MIN(ROW('03.Muestra'!$D$8:$D$42))+1,""),ROW()-550)),"")</f>
        <v>https://elecciones.comunidad.madrid/es/resultados/ley_d_hondt</v>
      </c>
      <c r="D564" s="99" t="s">
        <v>184</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Voto por correo elector CERA en España</v>
      </c>
      <c r="C565" s="85" t="str" cm="1">
        <f t="array" ref="C565">IFERROR(INDEX('03.Muestra'!$F$8:$F$42,SMALL(IF("Página Web"='03.Muestra'!$D$8:$D$42,ROW('03.Muestra'!$F$8:$F$42)-MIN(ROW('03.Muestra'!$D$8:$D$42))+1,""),ROW()-550)),"")</f>
        <v>https://elecciones.comunidad.madrid/es/preguntas-frecuentes/voto-correo-electores-residentes-extranjero</v>
      </c>
      <c r="D565" s="99" t="s">
        <v>184</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https://elecciones.comunidad.madrid/es/buzon-de-sugerencias</v>
      </c>
      <c r="D566" s="99" t="s">
        <v>184</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Buscador</v>
      </c>
      <c r="C567" s="85" t="str" cm="1">
        <f t="array" ref="C567">IFERROR(INDEX('03.Muestra'!$F$8:$F$42,SMALL(IF("Página Web"='03.Muestra'!$D$8:$D$42,ROW('03.Muestra'!$F$8:$F$42)-MIN(ROW('03.Muestra'!$D$8:$D$42))+1,""),ROW()-550)),"")</f>
        <v>https://elecciones.comunidad.madrid/es/search?search_api_fulltext=partido</v>
      </c>
      <c r="D567" s="99" t="s">
        <v>184</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Legal-Privacidad</v>
      </c>
      <c r="C568" s="85" t="str" cm="1">
        <f t="array" ref="C568">IFERROR(INDEX('03.Muestra'!$F$8:$F$42,SMALL(IF("Página Web"='03.Muestra'!$D$8:$D$42,ROW('03.Muestra'!$F$8:$F$42)-MIN(ROW('03.Muestra'!$D$8:$D$42))+1,""),ROW()-550)),"")</f>
        <v>https://elecciones.comunidad.madrid/es/aviso-legal</v>
      </c>
      <c r="D568" s="99" t="s">
        <v>184</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https://elecciones.comunidad.madrid/es/sitemap</v>
      </c>
      <c r="D569" s="99" t="s">
        <v>184</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Declaracion Accesibilidad</v>
      </c>
      <c r="C570" s="85" t="str" cm="1">
        <f t="array" ref="C570">IFERROR(INDEX('03.Muestra'!$F$8:$F$42,SMALL(IF("Página Web"='03.Muestra'!$D$8:$D$42,ROW('03.Muestra'!$F$8:$F$42)-MIN(ROW('03.Muestra'!$D$8:$D$42))+1,""),ROW()-550)),"")</f>
        <v>https://elecciones.comunidad.madrid/es/accesibilidad</v>
      </c>
      <c r="D570" s="99" t="s">
        <v>184</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181</v>
      </c>
      <c r="B588" s="23" t="s">
        <v>173</v>
      </c>
      <c r="C588" s="24" t="s">
        <v>209</v>
      </c>
      <c r="D588" s="25" t="s">
        <v>183</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https://elecciones.comunidad.madrid/es</v>
      </c>
      <c r="D589" s="99" t="s">
        <v>184</v>
      </c>
      <c r="E589" s="79" t="str">
        <f t="shared" ref="E589:E623" si="30">IF(D589&lt;&gt;"",IF(AND(B589&lt;&gt;"",C589&lt;&gt;""),"","ERR"),"")</f>
        <v/>
      </c>
      <c r="F589" s="86" t="s">
        <v>185</v>
      </c>
      <c r="G589" s="87" t="s">
        <v>186</v>
      </c>
      <c r="H589" s="88" t="s">
        <v>184</v>
      </c>
      <c r="I589" s="89" t="s">
        <v>176</v>
      </c>
      <c r="J589" s="90" t="s">
        <v>174</v>
      </c>
      <c r="K589" s="181" t="s">
        <v>180</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Resultado Elecciones 28M 2023</v>
      </c>
      <c r="C590" s="85" t="str" cm="1">
        <f t="array" ref="C590">IFERROR(INDEX('03.Muestra'!$F$8:$F$42,SMALL(IF("Página Web"='03.Muestra'!$D$8:$D$42,ROW('03.Muestra'!$F$8:$F$42)-MIN(ROW('03.Muestra'!$D$8:$D$42))+1,""),ROW()-588)),"")</f>
        <v>https://elecciones.comunidad.madrid/es/resultados-elecciones-asamblea-madrid-28m-2023</v>
      </c>
      <c r="D590" s="99" t="s">
        <v>184</v>
      </c>
      <c r="E590" s="79" t="str">
        <f t="shared" si="30"/>
        <v/>
      </c>
      <c r="F590" s="91">
        <f ca="1">COUNTIF($D589:INDIRECT("$D" &amp;  SUM(ROW()-1,'03.Muestra'!$D$45)-1),F589)</f>
        <v>0</v>
      </c>
      <c r="G590" s="91">
        <f ca="1">COUNTIF($D589:INDIRECT("$D" &amp;  SUM(ROW()-1,'03.Muestra'!$D$45)-1),G589)</f>
        <v>0</v>
      </c>
      <c r="H590" s="91">
        <f ca="1">COUNTIF($D589:INDIRECT("$D" &amp;  SUM(ROW()-1,'03.Muestra'!$D$45)-1),H589)</f>
        <v>20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Normativa electoral</v>
      </c>
      <c r="C591" s="85" t="str" cm="1">
        <f t="array" ref="C591">IFERROR(INDEX('03.Muestra'!$F$8:$F$42,SMALL(IF("Página Web"='03.Muestra'!$D$8:$D$42,ROW('03.Muestra'!$F$8:$F$42)-MIN(ROW('03.Muestra'!$D$8:$D$42))+1,""),ROW()-588)),"")</f>
        <v>https://elecciones.comunidad.madrid/es/informacion-electoral/normativa-electoral</v>
      </c>
      <c r="D591" s="99" t="s">
        <v>184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Calendario electoral</v>
      </c>
      <c r="C592" s="85" t="str" cm="1">
        <f t="array" ref="C592">IFERROR(INDEX('03.Muestra'!$F$8:$F$42,SMALL(IF("Página Web"='03.Muestra'!$D$8:$D$42,ROW('03.Muestra'!$F$8:$F$42)-MIN(ROW('03.Muestra'!$D$8:$D$42))+1,""),ROW()-588)),"")</f>
        <v>https://elecciones.comunidad.madrid/es/informacion-electoral/calendario-electoral</v>
      </c>
      <c r="D592" s="99" t="s">
        <v>184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Direcciones y teléfonos</v>
      </c>
      <c r="C593" s="85" t="str" cm="1">
        <f t="array" ref="C593">IFERROR(INDEX('03.Muestra'!$F$8:$F$42,SMALL(IF("Página Web"='03.Muestra'!$D$8:$D$42,ROW('03.Muestra'!$F$8:$F$42)-MIN(ROW('03.Muestra'!$D$8:$D$42))+1,""),ROW()-588)),"")</f>
        <v>https://elecciones.comunidad.madrid/es/juntas-electorales/direcciones-telefonos</v>
      </c>
      <c r="D593" s="99" t="s">
        <v>184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Impresos electrónicos</v>
      </c>
      <c r="C594" s="85" t="str" cm="1">
        <f t="array" ref="C594">IFERROR(INDEX('03.Muestra'!$F$8:$F$42,SMALL(IF("Página Web"='03.Muestra'!$D$8:$D$42,ROW('03.Muestra'!$F$8:$F$42)-MIN(ROW('03.Muestra'!$D$8:$D$42))+1,""),ROW()-588)),"")</f>
        <v>https://elecciones.comunidad.madrid/es/formaciones-politicas/impresos-electronicos</v>
      </c>
      <c r="D594" s="99" t="s">
        <v>184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Listado de candidaturas</v>
      </c>
      <c r="C595" s="85" t="str" cm="1">
        <f t="array" ref="C595">IFERROR(INDEX('03.Muestra'!$F$8:$F$42,SMALL(IF("Página Web"='03.Muestra'!$D$8:$D$42,ROW('03.Muestra'!$F$8:$F$42)-MIN(ROW('03.Muestra'!$D$8:$D$42))+1,""),ROW()-588)),"")</f>
        <v>https://elecciones.comunidad.madrid/es/formaciones-politicas/listado-candidaturas-proclamadas</v>
      </c>
      <c r="D595" s="99" t="s">
        <v>184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Partido Feminista de España</v>
      </c>
      <c r="C596" s="85" t="str" cm="1">
        <f t="array" ref="C596">IFERROR(INDEX('03.Muestra'!$F$8:$F$42,SMALL(IF("Página Web"='03.Muestra'!$D$8:$D$42,ROW('03.Muestra'!$F$8:$F$42)-MIN(ROW('03.Muestra'!$D$8:$D$42))+1,""),ROW()-588)),"")</f>
        <v>https://elecciones.comunidad.madrid/es/formaciones-politicas/listado-candidaturas/partido-feminista-espana</v>
      </c>
      <c r="D596" s="99" t="s">
        <v>184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¿Dónde voto?</v>
      </c>
      <c r="C597" s="85" t="str" cm="1">
        <f t="array" ref="C597">IFERROR(INDEX('03.Muestra'!$F$8:$F$42,SMALL(IF("Página Web"='03.Muestra'!$D$8:$D$42,ROW('03.Muestra'!$F$8:$F$42)-MIN(ROW('03.Muestra'!$D$8:$D$42))+1,""),ROW()-588)),"")</f>
        <v>https://elecciones.comunidad.madrid/es/votar/donde-voto</v>
      </c>
      <c r="D597" s="99" t="s">
        <v>184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Voto presencial</v>
      </c>
      <c r="C598" s="85" t="str" cm="1">
        <f t="array" ref="C598">IFERROR(INDEX('03.Muestra'!$F$8:$F$42,SMALL(IF("Página Web"='03.Muestra'!$D$8:$D$42,ROW('03.Muestra'!$F$8:$F$42)-MIN(ROW('03.Muestra'!$D$8:$D$42))+1,""),ROW()-588)),"")</f>
        <v>https://elecciones.comunidad.madrid/es/voto-local-electoral/voto-presencial</v>
      </c>
      <c r="D598" s="99" t="s">
        <v>184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Ciudadanos temporalmente en el extranjero</v>
      </c>
      <c r="C599" s="85" t="str" cm="1">
        <f t="array" ref="C599">IFERROR(INDEX('03.Muestra'!$F$8:$F$42,SMALL(IF("Página Web"='03.Muestra'!$D$8:$D$42,ROW('03.Muestra'!$F$8:$F$42)-MIN(ROW('03.Muestra'!$D$8:$D$42))+1,""),ROW()-588)),"")</f>
        <v>https://elecciones.comunidad.madrid/es/voto-correo/solicitud-voto-temporalmente-ausentes</v>
      </c>
      <c r="D599" s="99" t="s">
        <v>184</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Nuevo votante</v>
      </c>
      <c r="C600" s="85" t="str" cm="1">
        <f t="array" ref="C600">IFERROR(INDEX('03.Muestra'!$F$8:$F$42,SMALL(IF("Página Web"='03.Muestra'!$D$8:$D$42,ROW('03.Muestra'!$F$8:$F$42)-MIN(ROW('03.Muestra'!$D$8:$D$42))+1,""),ROW()-588)),"")</f>
        <v>https://elecciones.comunidad.madrid/es/votar/nuevo-votante</v>
      </c>
      <c r="D600" s="99" t="s">
        <v>184</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Simulación método D'Hondt</v>
      </c>
      <c r="C601" s="85" t="str" cm="1">
        <f t="array" ref="C601">IFERROR(INDEX('03.Muestra'!$F$8:$F$42,SMALL(IF("Página Web"='03.Muestra'!$D$8:$D$42,ROW('03.Muestra'!$F$8:$F$42)-MIN(ROW('03.Muestra'!$D$8:$D$42))+1,""),ROW()-588)),"")</f>
        <v>https://elecciones.comunidad.madrid/es/informacion-util/simulacion-metodo-dhondt</v>
      </c>
      <c r="D601" s="99" t="s">
        <v>184</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Ley D'Hondt</v>
      </c>
      <c r="C602" s="85" t="str" cm="1">
        <f t="array" ref="C602">IFERROR(INDEX('03.Muestra'!$F$8:$F$42,SMALL(IF("Página Web"='03.Muestra'!$D$8:$D$42,ROW('03.Muestra'!$F$8:$F$42)-MIN(ROW('03.Muestra'!$D$8:$D$42))+1,""),ROW()-588)),"")</f>
        <v>https://elecciones.comunidad.madrid/es/resultados/ley_d_hondt</v>
      </c>
      <c r="D602" s="99" t="s">
        <v>184</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Voto por correo elector CERA en España</v>
      </c>
      <c r="C603" s="85" t="str" cm="1">
        <f t="array" ref="C603">IFERROR(INDEX('03.Muestra'!$F$8:$F$42,SMALL(IF("Página Web"='03.Muestra'!$D$8:$D$42,ROW('03.Muestra'!$F$8:$F$42)-MIN(ROW('03.Muestra'!$D$8:$D$42))+1,""),ROW()-588)),"")</f>
        <v>https://elecciones.comunidad.madrid/es/preguntas-frecuentes/voto-correo-electores-residentes-extranjero</v>
      </c>
      <c r="D603" s="99" t="s">
        <v>184</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https://elecciones.comunidad.madrid/es/buzon-de-sugerencias</v>
      </c>
      <c r="D604" s="99" t="s">
        <v>184</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Buscador</v>
      </c>
      <c r="C605" s="85" t="str" cm="1">
        <f t="array" ref="C605">IFERROR(INDEX('03.Muestra'!$F$8:$F$42,SMALL(IF("Página Web"='03.Muestra'!$D$8:$D$42,ROW('03.Muestra'!$F$8:$F$42)-MIN(ROW('03.Muestra'!$D$8:$D$42))+1,""),ROW()-588)),"")</f>
        <v>https://elecciones.comunidad.madrid/es/search?search_api_fulltext=partido</v>
      </c>
      <c r="D605" s="99" t="s">
        <v>184</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Legal-Privacidad</v>
      </c>
      <c r="C606" s="85" t="str" cm="1">
        <f t="array" ref="C606">IFERROR(INDEX('03.Muestra'!$F$8:$F$42,SMALL(IF("Página Web"='03.Muestra'!$D$8:$D$42,ROW('03.Muestra'!$F$8:$F$42)-MIN(ROW('03.Muestra'!$D$8:$D$42))+1,""),ROW()-588)),"")</f>
        <v>https://elecciones.comunidad.madrid/es/aviso-legal</v>
      </c>
      <c r="D606" s="99" t="s">
        <v>184</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https://elecciones.comunidad.madrid/es/sitemap</v>
      </c>
      <c r="D607" s="99" t="s">
        <v>184</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Declaracion Accesibilidad</v>
      </c>
      <c r="C608" s="85" t="str" cm="1">
        <f t="array" ref="C608">IFERROR(INDEX('03.Muestra'!$F$8:$F$42,SMALL(IF("Página Web"='03.Muestra'!$D$8:$D$42,ROW('03.Muestra'!$F$8:$F$42)-MIN(ROW('03.Muestra'!$D$8:$D$42))+1,""),ROW()-588)),"")</f>
        <v>https://elecciones.comunidad.madrid/es/accesibilidad</v>
      </c>
      <c r="D608" s="99" t="s">
        <v>184</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181</v>
      </c>
      <c r="B626" s="23" t="s">
        <v>173</v>
      </c>
      <c r="C626" s="24" t="s">
        <v>210</v>
      </c>
      <c r="D626" s="25" t="s">
        <v>183</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https://elecciones.comunidad.madrid/es</v>
      </c>
      <c r="D627" s="99" t="s">
        <v>184</v>
      </c>
      <c r="E627" s="79" t="str">
        <f t="shared" ref="E627:E661" si="32">IF(D627&lt;&gt;"",IF(AND(B627&lt;&gt;"",C627&lt;&gt;""),"","ERR"),"")</f>
        <v/>
      </c>
      <c r="F627" s="86" t="s">
        <v>185</v>
      </c>
      <c r="G627" s="87" t="s">
        <v>186</v>
      </c>
      <c r="H627" s="88" t="s">
        <v>184</v>
      </c>
      <c r="I627" s="89" t="s">
        <v>176</v>
      </c>
      <c r="J627" s="90" t="s">
        <v>174</v>
      </c>
      <c r="K627" s="181" t="s">
        <v>180</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Resultado Elecciones 28M 2023</v>
      </c>
      <c r="C628" s="85" t="str" cm="1">
        <f t="array" ref="C628">IFERROR(INDEX('03.Muestra'!$F$8:$F$42,SMALL(IF("Página Web"='03.Muestra'!$D$8:$D$42,ROW('03.Muestra'!$F$8:$F$42)-MIN(ROW('03.Muestra'!$D$8:$D$42))+1,""),ROW()-626)),"")</f>
        <v>https://elecciones.comunidad.madrid/es/resultados-elecciones-asamblea-madrid-28m-2023</v>
      </c>
      <c r="D628" s="99" t="s">
        <v>184</v>
      </c>
      <c r="E628" s="79" t="str">
        <f t="shared" si="32"/>
        <v/>
      </c>
      <c r="F628" s="91">
        <f ca="1">COUNTIF($D627:INDIRECT("$D" &amp;  SUM(ROW()-1,'03.Muestra'!$D$45)-1),F627)</f>
        <v>0</v>
      </c>
      <c r="G628" s="91">
        <f ca="1">COUNTIF($D627:INDIRECT("$D" &amp;  SUM(ROW()-1,'03.Muestra'!$D$45)-1),G627)</f>
        <v>0</v>
      </c>
      <c r="H628" s="91">
        <f ca="1">COUNTIF($D627:INDIRECT("$D" &amp;  SUM(ROW()-1,'03.Muestra'!$D$45)-1),H627)</f>
        <v>20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Normativa electoral</v>
      </c>
      <c r="C629" s="85" t="str" cm="1">
        <f t="array" ref="C629">IFERROR(INDEX('03.Muestra'!$F$8:$F$42,SMALL(IF("Página Web"='03.Muestra'!$D$8:$D$42,ROW('03.Muestra'!$F$8:$F$42)-MIN(ROW('03.Muestra'!$D$8:$D$42))+1,""),ROW()-626)),"")</f>
        <v>https://elecciones.comunidad.madrid/es/informacion-electoral/normativa-electoral</v>
      </c>
      <c r="D629" s="99" t="s">
        <v>184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Calendario electoral</v>
      </c>
      <c r="C630" s="85" t="str" cm="1">
        <f t="array" ref="C630">IFERROR(INDEX('03.Muestra'!$F$8:$F$42,SMALL(IF("Página Web"='03.Muestra'!$D$8:$D$42,ROW('03.Muestra'!$F$8:$F$42)-MIN(ROW('03.Muestra'!$D$8:$D$42))+1,""),ROW()-626)),"")</f>
        <v>https://elecciones.comunidad.madrid/es/informacion-electoral/calendario-electoral</v>
      </c>
      <c r="D630" s="99" t="s">
        <v>184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Direcciones y teléfonos</v>
      </c>
      <c r="C631" s="85" t="str" cm="1">
        <f t="array" ref="C631">IFERROR(INDEX('03.Muestra'!$F$8:$F$42,SMALL(IF("Página Web"='03.Muestra'!$D$8:$D$42,ROW('03.Muestra'!$F$8:$F$42)-MIN(ROW('03.Muestra'!$D$8:$D$42))+1,""),ROW()-626)),"")</f>
        <v>https://elecciones.comunidad.madrid/es/juntas-electorales/direcciones-telefonos</v>
      </c>
      <c r="D631" s="99" t="s">
        <v>184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Impresos electrónicos</v>
      </c>
      <c r="C632" s="85" t="str" cm="1">
        <f t="array" ref="C632">IFERROR(INDEX('03.Muestra'!$F$8:$F$42,SMALL(IF("Página Web"='03.Muestra'!$D$8:$D$42,ROW('03.Muestra'!$F$8:$F$42)-MIN(ROW('03.Muestra'!$D$8:$D$42))+1,""),ROW()-626)),"")</f>
        <v>https://elecciones.comunidad.madrid/es/formaciones-politicas/impresos-electronicos</v>
      </c>
      <c r="D632" s="99" t="s">
        <v>184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Listado de candidaturas</v>
      </c>
      <c r="C633" s="85" t="str" cm="1">
        <f t="array" ref="C633">IFERROR(INDEX('03.Muestra'!$F$8:$F$42,SMALL(IF("Página Web"='03.Muestra'!$D$8:$D$42,ROW('03.Muestra'!$F$8:$F$42)-MIN(ROW('03.Muestra'!$D$8:$D$42))+1,""),ROW()-626)),"")</f>
        <v>https://elecciones.comunidad.madrid/es/formaciones-politicas/listado-candidaturas-proclamadas</v>
      </c>
      <c r="D633" s="99" t="s">
        <v>184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Partido Feminista de España</v>
      </c>
      <c r="C634" s="85" t="str" cm="1">
        <f t="array" ref="C634">IFERROR(INDEX('03.Muestra'!$F$8:$F$42,SMALL(IF("Página Web"='03.Muestra'!$D$8:$D$42,ROW('03.Muestra'!$F$8:$F$42)-MIN(ROW('03.Muestra'!$D$8:$D$42))+1,""),ROW()-626)),"")</f>
        <v>https://elecciones.comunidad.madrid/es/formaciones-politicas/listado-candidaturas/partido-feminista-espana</v>
      </c>
      <c r="D634" s="99" t="s">
        <v>184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¿Dónde voto?</v>
      </c>
      <c r="C635" s="85" t="str" cm="1">
        <f t="array" ref="C635">IFERROR(INDEX('03.Muestra'!$F$8:$F$42,SMALL(IF("Página Web"='03.Muestra'!$D$8:$D$42,ROW('03.Muestra'!$F$8:$F$42)-MIN(ROW('03.Muestra'!$D$8:$D$42))+1,""),ROW()-626)),"")</f>
        <v>https://elecciones.comunidad.madrid/es/votar/donde-voto</v>
      </c>
      <c r="D635" s="99" t="s">
        <v>184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Voto presencial</v>
      </c>
      <c r="C636" s="85" t="str" cm="1">
        <f t="array" ref="C636">IFERROR(INDEX('03.Muestra'!$F$8:$F$42,SMALL(IF("Página Web"='03.Muestra'!$D$8:$D$42,ROW('03.Muestra'!$F$8:$F$42)-MIN(ROW('03.Muestra'!$D$8:$D$42))+1,""),ROW()-626)),"")</f>
        <v>https://elecciones.comunidad.madrid/es/voto-local-electoral/voto-presencial</v>
      </c>
      <c r="D636" s="99" t="s">
        <v>184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Ciudadanos temporalmente en el extranjero</v>
      </c>
      <c r="C637" s="85" t="str" cm="1">
        <f t="array" ref="C637">IFERROR(INDEX('03.Muestra'!$F$8:$F$42,SMALL(IF("Página Web"='03.Muestra'!$D$8:$D$42,ROW('03.Muestra'!$F$8:$F$42)-MIN(ROW('03.Muestra'!$D$8:$D$42))+1,""),ROW()-626)),"")</f>
        <v>https://elecciones.comunidad.madrid/es/voto-correo/solicitud-voto-temporalmente-ausentes</v>
      </c>
      <c r="D637" s="99" t="s">
        <v>184</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Nuevo votante</v>
      </c>
      <c r="C638" s="85" t="str" cm="1">
        <f t="array" ref="C638">IFERROR(INDEX('03.Muestra'!$F$8:$F$42,SMALL(IF("Página Web"='03.Muestra'!$D$8:$D$42,ROW('03.Muestra'!$F$8:$F$42)-MIN(ROW('03.Muestra'!$D$8:$D$42))+1,""),ROW()-626)),"")</f>
        <v>https://elecciones.comunidad.madrid/es/votar/nuevo-votante</v>
      </c>
      <c r="D638" s="99" t="s">
        <v>184</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Simulación método D'Hondt</v>
      </c>
      <c r="C639" s="85" t="str" cm="1">
        <f t="array" ref="C639">IFERROR(INDEX('03.Muestra'!$F$8:$F$42,SMALL(IF("Página Web"='03.Muestra'!$D$8:$D$42,ROW('03.Muestra'!$F$8:$F$42)-MIN(ROW('03.Muestra'!$D$8:$D$42))+1,""),ROW()-626)),"")</f>
        <v>https://elecciones.comunidad.madrid/es/informacion-util/simulacion-metodo-dhondt</v>
      </c>
      <c r="D639" s="99" t="s">
        <v>184</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Ley D'Hondt</v>
      </c>
      <c r="C640" s="85" t="str" cm="1">
        <f t="array" ref="C640">IFERROR(INDEX('03.Muestra'!$F$8:$F$42,SMALL(IF("Página Web"='03.Muestra'!$D$8:$D$42,ROW('03.Muestra'!$F$8:$F$42)-MIN(ROW('03.Muestra'!$D$8:$D$42))+1,""),ROW()-626)),"")</f>
        <v>https://elecciones.comunidad.madrid/es/resultados/ley_d_hondt</v>
      </c>
      <c r="D640" s="99" t="s">
        <v>184</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Voto por correo elector CERA en España</v>
      </c>
      <c r="C641" s="85" t="str" cm="1">
        <f t="array" ref="C641">IFERROR(INDEX('03.Muestra'!$F$8:$F$42,SMALL(IF("Página Web"='03.Muestra'!$D$8:$D$42,ROW('03.Muestra'!$F$8:$F$42)-MIN(ROW('03.Muestra'!$D$8:$D$42))+1,""),ROW()-626)),"")</f>
        <v>https://elecciones.comunidad.madrid/es/preguntas-frecuentes/voto-correo-electores-residentes-extranjero</v>
      </c>
      <c r="D641" s="99" t="s">
        <v>184</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https://elecciones.comunidad.madrid/es/buzon-de-sugerencias</v>
      </c>
      <c r="D642" s="99" t="s">
        <v>184</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Buscador</v>
      </c>
      <c r="C643" s="85" t="str" cm="1">
        <f t="array" ref="C643">IFERROR(INDEX('03.Muestra'!$F$8:$F$42,SMALL(IF("Página Web"='03.Muestra'!$D$8:$D$42,ROW('03.Muestra'!$F$8:$F$42)-MIN(ROW('03.Muestra'!$D$8:$D$42))+1,""),ROW()-626)),"")</f>
        <v>https://elecciones.comunidad.madrid/es/search?search_api_fulltext=partido</v>
      </c>
      <c r="D643" s="99" t="s">
        <v>184</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Legal-Privacidad</v>
      </c>
      <c r="C644" s="85" t="str" cm="1">
        <f t="array" ref="C644">IFERROR(INDEX('03.Muestra'!$F$8:$F$42,SMALL(IF("Página Web"='03.Muestra'!$D$8:$D$42,ROW('03.Muestra'!$F$8:$F$42)-MIN(ROW('03.Muestra'!$D$8:$D$42))+1,""),ROW()-626)),"")</f>
        <v>https://elecciones.comunidad.madrid/es/aviso-legal</v>
      </c>
      <c r="D644" s="99" t="s">
        <v>184</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https://elecciones.comunidad.madrid/es/sitemap</v>
      </c>
      <c r="D645" s="99" t="s">
        <v>184</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Declaracion Accesibilidad</v>
      </c>
      <c r="C646" s="85" t="str" cm="1">
        <f t="array" ref="C646">IFERROR(INDEX('03.Muestra'!$F$8:$F$42,SMALL(IF("Página Web"='03.Muestra'!$D$8:$D$42,ROW('03.Muestra'!$F$8:$F$42)-MIN(ROW('03.Muestra'!$D$8:$D$42))+1,""),ROW()-626)),"")</f>
        <v>https://elecciones.comunidad.madrid/es/accesibilidad</v>
      </c>
      <c r="D646" s="99" t="s">
        <v>184</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181</v>
      </c>
      <c r="B664" s="23" t="s">
        <v>173</v>
      </c>
      <c r="C664" s="172" t="s">
        <v>211</v>
      </c>
      <c r="D664" s="25" t="s">
        <v>183</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https://elecciones.comunidad.madrid/es</v>
      </c>
      <c r="D665" s="99" t="s">
        <v>184</v>
      </c>
      <c r="E665" s="79" t="str">
        <f t="shared" ref="E665:E699" si="34">IF(D665&lt;&gt;"",IF(AND(B665&lt;&gt;"",C665&lt;&gt;""),"","ERR"),"")</f>
        <v/>
      </c>
      <c r="F665" s="86" t="s">
        <v>185</v>
      </c>
      <c r="G665" s="87" t="s">
        <v>186</v>
      </c>
      <c r="H665" s="88" t="s">
        <v>184</v>
      </c>
      <c r="I665" s="89" t="s">
        <v>176</v>
      </c>
      <c r="J665" s="90" t="s">
        <v>174</v>
      </c>
      <c r="K665" s="181" t="s">
        <v>180</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Resultado Elecciones 28M 2023</v>
      </c>
      <c r="C666" s="85" t="str" cm="1">
        <f t="array" ref="C666">IFERROR(INDEX('03.Muestra'!$F$8:$F$42,SMALL(IF("Página Web"='03.Muestra'!$D$8:$D$42,ROW('03.Muestra'!$F$8:$F$42)-MIN(ROW('03.Muestra'!$D$8:$D$42))+1,""),ROW()-664)),"")</f>
        <v>https://elecciones.comunidad.madrid/es/resultados-elecciones-asamblea-madrid-28m-2023</v>
      </c>
      <c r="D666" s="99" t="s">
        <v>184</v>
      </c>
      <c r="E666" s="79" t="str">
        <f t="shared" si="34"/>
        <v/>
      </c>
      <c r="F666" s="91">
        <f ca="1">COUNTIF($D665:INDIRECT("$D" &amp;  SUM(ROW()-1,'03.Muestra'!$D$45)-1),F665)</f>
        <v>0</v>
      </c>
      <c r="G666" s="91">
        <f ca="1">COUNTIF($D665:INDIRECT("$D" &amp;  SUM(ROW()-1,'03.Muestra'!$D$45)-1),G665)</f>
        <v>0</v>
      </c>
      <c r="H666" s="91">
        <f ca="1">COUNTIF($D665:INDIRECT("$D" &amp;  SUM(ROW()-1,'03.Muestra'!$D$45)-1),H665)</f>
        <v>20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Normativa electoral</v>
      </c>
      <c r="C667" s="85" t="str" cm="1">
        <f t="array" ref="C667">IFERROR(INDEX('03.Muestra'!$F$8:$F$42,SMALL(IF("Página Web"='03.Muestra'!$D$8:$D$42,ROW('03.Muestra'!$F$8:$F$42)-MIN(ROW('03.Muestra'!$D$8:$D$42))+1,""),ROW()-664)),"")</f>
        <v>https://elecciones.comunidad.madrid/es/informacion-electoral/normativa-electoral</v>
      </c>
      <c r="D667" s="99" t="s">
        <v>184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Calendario electoral</v>
      </c>
      <c r="C668" s="85" t="str" cm="1">
        <f t="array" ref="C668">IFERROR(INDEX('03.Muestra'!$F$8:$F$42,SMALL(IF("Página Web"='03.Muestra'!$D$8:$D$42,ROW('03.Muestra'!$F$8:$F$42)-MIN(ROW('03.Muestra'!$D$8:$D$42))+1,""),ROW()-664)),"")</f>
        <v>https://elecciones.comunidad.madrid/es/informacion-electoral/calendario-electoral</v>
      </c>
      <c r="D668" s="99" t="s">
        <v>184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Direcciones y teléfonos</v>
      </c>
      <c r="C669" s="85" t="str" cm="1">
        <f t="array" ref="C669">IFERROR(INDEX('03.Muestra'!$F$8:$F$42,SMALL(IF("Página Web"='03.Muestra'!$D$8:$D$42,ROW('03.Muestra'!$F$8:$F$42)-MIN(ROW('03.Muestra'!$D$8:$D$42))+1,""),ROW()-664)),"")</f>
        <v>https://elecciones.comunidad.madrid/es/juntas-electorales/direcciones-telefonos</v>
      </c>
      <c r="D669" s="99" t="s">
        <v>184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Impresos electrónicos</v>
      </c>
      <c r="C670" s="85" t="str" cm="1">
        <f t="array" ref="C670">IFERROR(INDEX('03.Muestra'!$F$8:$F$42,SMALL(IF("Página Web"='03.Muestra'!$D$8:$D$42,ROW('03.Muestra'!$F$8:$F$42)-MIN(ROW('03.Muestra'!$D$8:$D$42))+1,""),ROW()-664)),"")</f>
        <v>https://elecciones.comunidad.madrid/es/formaciones-politicas/impresos-electronicos</v>
      </c>
      <c r="D670" s="99" t="s">
        <v>184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Listado de candidaturas</v>
      </c>
      <c r="C671" s="85" t="str" cm="1">
        <f t="array" ref="C671">IFERROR(INDEX('03.Muestra'!$F$8:$F$42,SMALL(IF("Página Web"='03.Muestra'!$D$8:$D$42,ROW('03.Muestra'!$F$8:$F$42)-MIN(ROW('03.Muestra'!$D$8:$D$42))+1,""),ROW()-664)),"")</f>
        <v>https://elecciones.comunidad.madrid/es/formaciones-politicas/listado-candidaturas-proclamadas</v>
      </c>
      <c r="D671" s="99" t="s">
        <v>184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Partido Feminista de España</v>
      </c>
      <c r="C672" s="85" t="str" cm="1">
        <f t="array" ref="C672">IFERROR(INDEX('03.Muestra'!$F$8:$F$42,SMALL(IF("Página Web"='03.Muestra'!$D$8:$D$42,ROW('03.Muestra'!$F$8:$F$42)-MIN(ROW('03.Muestra'!$D$8:$D$42))+1,""),ROW()-664)),"")</f>
        <v>https://elecciones.comunidad.madrid/es/formaciones-politicas/listado-candidaturas/partido-feminista-espana</v>
      </c>
      <c r="D672" s="99" t="s">
        <v>184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¿Dónde voto?</v>
      </c>
      <c r="C673" s="85" t="str" cm="1">
        <f t="array" ref="C673">IFERROR(INDEX('03.Muestra'!$F$8:$F$42,SMALL(IF("Página Web"='03.Muestra'!$D$8:$D$42,ROW('03.Muestra'!$F$8:$F$42)-MIN(ROW('03.Muestra'!$D$8:$D$42))+1,""),ROW()-664)),"")</f>
        <v>https://elecciones.comunidad.madrid/es/votar/donde-voto</v>
      </c>
      <c r="D673" s="99" t="s">
        <v>184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Voto presencial</v>
      </c>
      <c r="C674" s="85" t="str" cm="1">
        <f t="array" ref="C674">IFERROR(INDEX('03.Muestra'!$F$8:$F$42,SMALL(IF("Página Web"='03.Muestra'!$D$8:$D$42,ROW('03.Muestra'!$F$8:$F$42)-MIN(ROW('03.Muestra'!$D$8:$D$42))+1,""),ROW()-664)),"")</f>
        <v>https://elecciones.comunidad.madrid/es/voto-local-electoral/voto-presencial</v>
      </c>
      <c r="D674" s="99" t="s">
        <v>184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Ciudadanos temporalmente en el extranjero</v>
      </c>
      <c r="C675" s="85" t="str" cm="1">
        <f t="array" ref="C675">IFERROR(INDEX('03.Muestra'!$F$8:$F$42,SMALL(IF("Página Web"='03.Muestra'!$D$8:$D$42,ROW('03.Muestra'!$F$8:$F$42)-MIN(ROW('03.Muestra'!$D$8:$D$42))+1,""),ROW()-664)),"")</f>
        <v>https://elecciones.comunidad.madrid/es/voto-correo/solicitud-voto-temporalmente-ausentes</v>
      </c>
      <c r="D675" s="99" t="s">
        <v>184</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Nuevo votante</v>
      </c>
      <c r="C676" s="85" t="str" cm="1">
        <f t="array" ref="C676">IFERROR(INDEX('03.Muestra'!$F$8:$F$42,SMALL(IF("Página Web"='03.Muestra'!$D$8:$D$42,ROW('03.Muestra'!$F$8:$F$42)-MIN(ROW('03.Muestra'!$D$8:$D$42))+1,""),ROW()-664)),"")</f>
        <v>https://elecciones.comunidad.madrid/es/votar/nuevo-votante</v>
      </c>
      <c r="D676" s="99" t="s">
        <v>184</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Simulación método D'Hondt</v>
      </c>
      <c r="C677" s="85" t="str" cm="1">
        <f t="array" ref="C677">IFERROR(INDEX('03.Muestra'!$F$8:$F$42,SMALL(IF("Página Web"='03.Muestra'!$D$8:$D$42,ROW('03.Muestra'!$F$8:$F$42)-MIN(ROW('03.Muestra'!$D$8:$D$42))+1,""),ROW()-664)),"")</f>
        <v>https://elecciones.comunidad.madrid/es/informacion-util/simulacion-metodo-dhondt</v>
      </c>
      <c r="D677" s="99" t="s">
        <v>184</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Ley D'Hondt</v>
      </c>
      <c r="C678" s="85" t="str" cm="1">
        <f t="array" ref="C678">IFERROR(INDEX('03.Muestra'!$F$8:$F$42,SMALL(IF("Página Web"='03.Muestra'!$D$8:$D$42,ROW('03.Muestra'!$F$8:$F$42)-MIN(ROW('03.Muestra'!$D$8:$D$42))+1,""),ROW()-664)),"")</f>
        <v>https://elecciones.comunidad.madrid/es/resultados/ley_d_hondt</v>
      </c>
      <c r="D678" s="99" t="s">
        <v>184</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Voto por correo elector CERA en España</v>
      </c>
      <c r="C679" s="85" t="str" cm="1">
        <f t="array" ref="C679">IFERROR(INDEX('03.Muestra'!$F$8:$F$42,SMALL(IF("Página Web"='03.Muestra'!$D$8:$D$42,ROW('03.Muestra'!$F$8:$F$42)-MIN(ROW('03.Muestra'!$D$8:$D$42))+1,""),ROW()-664)),"")</f>
        <v>https://elecciones.comunidad.madrid/es/preguntas-frecuentes/voto-correo-electores-residentes-extranjero</v>
      </c>
      <c r="D679" s="99" t="s">
        <v>184</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https://elecciones.comunidad.madrid/es/buzon-de-sugerencias</v>
      </c>
      <c r="D680" s="99" t="s">
        <v>184</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Buscador</v>
      </c>
      <c r="C681" s="85" t="str" cm="1">
        <f t="array" ref="C681">IFERROR(INDEX('03.Muestra'!$F$8:$F$42,SMALL(IF("Página Web"='03.Muestra'!$D$8:$D$42,ROW('03.Muestra'!$F$8:$F$42)-MIN(ROW('03.Muestra'!$D$8:$D$42))+1,""),ROW()-664)),"")</f>
        <v>https://elecciones.comunidad.madrid/es/search?search_api_fulltext=partido</v>
      </c>
      <c r="D681" s="99" t="s">
        <v>184</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Legal-Privacidad</v>
      </c>
      <c r="C682" s="85" t="str" cm="1">
        <f t="array" ref="C682">IFERROR(INDEX('03.Muestra'!$F$8:$F$42,SMALL(IF("Página Web"='03.Muestra'!$D$8:$D$42,ROW('03.Muestra'!$F$8:$F$42)-MIN(ROW('03.Muestra'!$D$8:$D$42))+1,""),ROW()-664)),"")</f>
        <v>https://elecciones.comunidad.madrid/es/aviso-legal</v>
      </c>
      <c r="D682" s="99" t="s">
        <v>184</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https://elecciones.comunidad.madrid/es/sitemap</v>
      </c>
      <c r="D683" s="99" t="s">
        <v>184</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Declaracion Accesibilidad</v>
      </c>
      <c r="C684" s="85" t="str" cm="1">
        <f t="array" ref="C684">IFERROR(INDEX('03.Muestra'!$F$8:$F$42,SMALL(IF("Página Web"='03.Muestra'!$D$8:$D$42,ROW('03.Muestra'!$F$8:$F$42)-MIN(ROW('03.Muestra'!$D$8:$D$42))+1,""),ROW()-664)),"")</f>
        <v>https://elecciones.comunidad.madrid/es/accesibilidad</v>
      </c>
      <c r="D684" s="99" t="s">
        <v>184</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181</v>
      </c>
      <c r="B702" s="23" t="s">
        <v>173</v>
      </c>
      <c r="C702" s="172" t="s">
        <v>212</v>
      </c>
      <c r="D702" s="25" t="s">
        <v>183</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https://elecciones.comunidad.madrid/es</v>
      </c>
      <c r="D703" s="99" t="s">
        <v>184</v>
      </c>
      <c r="E703" s="79" t="str">
        <f t="shared" ref="E703:E737" si="36">IF(D703&lt;&gt;"",IF(AND(B703&lt;&gt;"",C703&lt;&gt;""),"","ERR"),"")</f>
        <v/>
      </c>
      <c r="F703" s="86" t="s">
        <v>185</v>
      </c>
      <c r="G703" s="87" t="s">
        <v>186</v>
      </c>
      <c r="H703" s="88" t="s">
        <v>184</v>
      </c>
      <c r="I703" s="89" t="s">
        <v>176</v>
      </c>
      <c r="J703" s="90" t="s">
        <v>174</v>
      </c>
      <c r="K703" s="181" t="s">
        <v>180</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Resultado Elecciones 28M 2023</v>
      </c>
      <c r="C704" s="85" t="str" cm="1">
        <f t="array" ref="C704">IFERROR(INDEX('03.Muestra'!$F$8:$F$42,SMALL(IF("Página Web"='03.Muestra'!$D$8:$D$42,ROW('03.Muestra'!$F$8:$F$42)-MIN(ROW('03.Muestra'!$D$8:$D$42))+1,""),ROW()-702)),"")</f>
        <v>https://elecciones.comunidad.madrid/es/resultados-elecciones-asamblea-madrid-28m-2023</v>
      </c>
      <c r="D704" s="99" t="s">
        <v>184</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Normativa electoral</v>
      </c>
      <c r="C705" s="85" t="str" cm="1">
        <f t="array" ref="C705">IFERROR(INDEX('03.Muestra'!$F$8:$F$42,SMALL(IF("Página Web"='03.Muestra'!$D$8:$D$42,ROW('03.Muestra'!$F$8:$F$42)-MIN(ROW('03.Muestra'!$D$8:$D$42))+1,""),ROW()-702)),"")</f>
        <v>https://elecciones.comunidad.madrid/es/informacion-electoral/normativa-electoral</v>
      </c>
      <c r="D705" s="99" t="s">
        <v>184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Calendario electoral</v>
      </c>
      <c r="C706" s="85" t="str" cm="1">
        <f t="array" ref="C706">IFERROR(INDEX('03.Muestra'!$F$8:$F$42,SMALL(IF("Página Web"='03.Muestra'!$D$8:$D$42,ROW('03.Muestra'!$F$8:$F$42)-MIN(ROW('03.Muestra'!$D$8:$D$42))+1,""),ROW()-702)),"")</f>
        <v>https://elecciones.comunidad.madrid/es/informacion-electoral/calendario-electoral</v>
      </c>
      <c r="D706" s="99" t="s">
        <v>184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Direcciones y teléfonos</v>
      </c>
      <c r="C707" s="85" t="str" cm="1">
        <f t="array" ref="C707">IFERROR(INDEX('03.Muestra'!$F$8:$F$42,SMALL(IF("Página Web"='03.Muestra'!$D$8:$D$42,ROW('03.Muestra'!$F$8:$F$42)-MIN(ROW('03.Muestra'!$D$8:$D$42))+1,""),ROW()-702)),"")</f>
        <v>https://elecciones.comunidad.madrid/es/juntas-electorales/direcciones-telefonos</v>
      </c>
      <c r="D707" s="99" t="s">
        <v>184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Impresos electrónicos</v>
      </c>
      <c r="C708" s="85" t="str" cm="1">
        <f t="array" ref="C708">IFERROR(INDEX('03.Muestra'!$F$8:$F$42,SMALL(IF("Página Web"='03.Muestra'!$D$8:$D$42,ROW('03.Muestra'!$F$8:$F$42)-MIN(ROW('03.Muestra'!$D$8:$D$42))+1,""),ROW()-702)),"")</f>
        <v>https://elecciones.comunidad.madrid/es/formaciones-politicas/impresos-electronicos</v>
      </c>
      <c r="D708" s="99" t="s">
        <v>184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Listado de candidaturas</v>
      </c>
      <c r="C709" s="85" t="str" cm="1">
        <f t="array" ref="C709">IFERROR(INDEX('03.Muestra'!$F$8:$F$42,SMALL(IF("Página Web"='03.Muestra'!$D$8:$D$42,ROW('03.Muestra'!$F$8:$F$42)-MIN(ROW('03.Muestra'!$D$8:$D$42))+1,""),ROW()-702)),"")</f>
        <v>https://elecciones.comunidad.madrid/es/formaciones-politicas/listado-candidaturas-proclamadas</v>
      </c>
      <c r="D709" s="99" t="s">
        <v>184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Partido Feminista de España</v>
      </c>
      <c r="C710" s="85" t="str" cm="1">
        <f t="array" ref="C710">IFERROR(INDEX('03.Muestra'!$F$8:$F$42,SMALL(IF("Página Web"='03.Muestra'!$D$8:$D$42,ROW('03.Muestra'!$F$8:$F$42)-MIN(ROW('03.Muestra'!$D$8:$D$42))+1,""),ROW()-702)),"")</f>
        <v>https://elecciones.comunidad.madrid/es/formaciones-politicas/listado-candidaturas/partido-feminista-espana</v>
      </c>
      <c r="D710" s="99" t="s">
        <v>184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¿Dónde voto?</v>
      </c>
      <c r="C711" s="85" t="str" cm="1">
        <f t="array" ref="C711">IFERROR(INDEX('03.Muestra'!$F$8:$F$42,SMALL(IF("Página Web"='03.Muestra'!$D$8:$D$42,ROW('03.Muestra'!$F$8:$F$42)-MIN(ROW('03.Muestra'!$D$8:$D$42))+1,""),ROW()-702)),"")</f>
        <v>https://elecciones.comunidad.madrid/es/votar/donde-voto</v>
      </c>
      <c r="D711" s="99" t="s">
        <v>184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Voto presencial</v>
      </c>
      <c r="C712" s="85" t="str" cm="1">
        <f t="array" ref="C712">IFERROR(INDEX('03.Muestra'!$F$8:$F$42,SMALL(IF("Página Web"='03.Muestra'!$D$8:$D$42,ROW('03.Muestra'!$F$8:$F$42)-MIN(ROW('03.Muestra'!$D$8:$D$42))+1,""),ROW()-702)),"")</f>
        <v>https://elecciones.comunidad.madrid/es/voto-local-electoral/voto-presencial</v>
      </c>
      <c r="D712" s="99" t="s">
        <v>184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Ciudadanos temporalmente en el extranjero</v>
      </c>
      <c r="C713" s="85" t="str" cm="1">
        <f t="array" ref="C713">IFERROR(INDEX('03.Muestra'!$F$8:$F$42,SMALL(IF("Página Web"='03.Muestra'!$D$8:$D$42,ROW('03.Muestra'!$F$8:$F$42)-MIN(ROW('03.Muestra'!$D$8:$D$42))+1,""),ROW()-702)),"")</f>
        <v>https://elecciones.comunidad.madrid/es/voto-correo/solicitud-voto-temporalmente-ausentes</v>
      </c>
      <c r="D713" s="99" t="s">
        <v>184</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Nuevo votante</v>
      </c>
      <c r="C714" s="85" t="str" cm="1">
        <f t="array" ref="C714">IFERROR(INDEX('03.Muestra'!$F$8:$F$42,SMALL(IF("Página Web"='03.Muestra'!$D$8:$D$42,ROW('03.Muestra'!$F$8:$F$42)-MIN(ROW('03.Muestra'!$D$8:$D$42))+1,""),ROW()-702)),"")</f>
        <v>https://elecciones.comunidad.madrid/es/votar/nuevo-votante</v>
      </c>
      <c r="D714" s="99" t="s">
        <v>184</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Simulación método D'Hondt</v>
      </c>
      <c r="C715" s="85" t="str" cm="1">
        <f t="array" ref="C715">IFERROR(INDEX('03.Muestra'!$F$8:$F$42,SMALL(IF("Página Web"='03.Muestra'!$D$8:$D$42,ROW('03.Muestra'!$F$8:$F$42)-MIN(ROW('03.Muestra'!$D$8:$D$42))+1,""),ROW()-702)),"")</f>
        <v>https://elecciones.comunidad.madrid/es/informacion-util/simulacion-metodo-dhondt</v>
      </c>
      <c r="D715" s="99" t="s">
        <v>184</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Ley D'Hondt</v>
      </c>
      <c r="C716" s="85" t="str" cm="1">
        <f t="array" ref="C716">IFERROR(INDEX('03.Muestra'!$F$8:$F$42,SMALL(IF("Página Web"='03.Muestra'!$D$8:$D$42,ROW('03.Muestra'!$F$8:$F$42)-MIN(ROW('03.Muestra'!$D$8:$D$42))+1,""),ROW()-702)),"")</f>
        <v>https://elecciones.comunidad.madrid/es/resultados/ley_d_hondt</v>
      </c>
      <c r="D716" s="99" t="s">
        <v>184</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Voto por correo elector CERA en España</v>
      </c>
      <c r="C717" s="85" t="str" cm="1">
        <f t="array" ref="C717">IFERROR(INDEX('03.Muestra'!$F$8:$F$42,SMALL(IF("Página Web"='03.Muestra'!$D$8:$D$42,ROW('03.Muestra'!$F$8:$F$42)-MIN(ROW('03.Muestra'!$D$8:$D$42))+1,""),ROW()-702)),"")</f>
        <v>https://elecciones.comunidad.madrid/es/preguntas-frecuentes/voto-correo-electores-residentes-extranjero</v>
      </c>
      <c r="D717" s="99" t="s">
        <v>184</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https://elecciones.comunidad.madrid/es/buzon-de-sugerencias</v>
      </c>
      <c r="D718" s="99" t="s">
        <v>184</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Buscador</v>
      </c>
      <c r="C719" s="85" t="str" cm="1">
        <f t="array" ref="C719">IFERROR(INDEX('03.Muestra'!$F$8:$F$42,SMALL(IF("Página Web"='03.Muestra'!$D$8:$D$42,ROW('03.Muestra'!$F$8:$F$42)-MIN(ROW('03.Muestra'!$D$8:$D$42))+1,""),ROW()-702)),"")</f>
        <v>https://elecciones.comunidad.madrid/es/search?search_api_fulltext=partido</v>
      </c>
      <c r="D719" s="99" t="s">
        <v>184</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Legal-Privacidad</v>
      </c>
      <c r="C720" s="85" t="str" cm="1">
        <f t="array" ref="C720">IFERROR(INDEX('03.Muestra'!$F$8:$F$42,SMALL(IF("Página Web"='03.Muestra'!$D$8:$D$42,ROW('03.Muestra'!$F$8:$F$42)-MIN(ROW('03.Muestra'!$D$8:$D$42))+1,""),ROW()-702)),"")</f>
        <v>https://elecciones.comunidad.madrid/es/aviso-legal</v>
      </c>
      <c r="D720" s="99" t="s">
        <v>184</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https://elecciones.comunidad.madrid/es/sitemap</v>
      </c>
      <c r="D721" s="99" t="s">
        <v>184</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Declaracion Accesibilidad</v>
      </c>
      <c r="C722" s="85" t="str" cm="1">
        <f t="array" ref="C722">IFERROR(INDEX('03.Muestra'!$F$8:$F$42,SMALL(IF("Página Web"='03.Muestra'!$D$8:$D$42,ROW('03.Muestra'!$F$8:$F$42)-MIN(ROW('03.Muestra'!$D$8:$D$42))+1,""),ROW()-702)),"")</f>
        <v>https://elecciones.comunidad.madrid/es/accesibilidad</v>
      </c>
      <c r="D722" s="99" t="s">
        <v>184</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108" priority="362" stopIfTrue="1" operator="equal">
      <formula>"-"</formula>
    </cfRule>
  </conditionalFormatting>
  <conditionalFormatting sqref="D10:D1048576">
    <cfRule type="cellIs" dxfId="1107" priority="1" stopIfTrue="1" operator="equal">
      <formula>"-"</formula>
    </cfRule>
  </conditionalFormatting>
  <conditionalFormatting sqref="D19:D53">
    <cfRule type="cellIs" dxfId="1106" priority="126" stopIfTrue="1" operator="equal">
      <formula>"N/D"</formula>
    </cfRule>
    <cfRule type="cellIs" dxfId="1105" priority="125" stopIfTrue="1" operator="equal">
      <formula>"N/T"</formula>
    </cfRule>
    <cfRule type="cellIs" dxfId="1104" priority="123" stopIfTrue="1" operator="equal">
      <formula>"Falla"</formula>
    </cfRule>
    <cfRule type="cellIs" dxfId="1103" priority="122" stopIfTrue="1" operator="equal">
      <formula>"Pasa"</formula>
    </cfRule>
    <cfRule type="expression" dxfId="1102" priority="121" stopIfTrue="1">
      <formula>ISBLANK(D19)</formula>
    </cfRule>
    <cfRule type="cellIs" dxfId="1101" priority="124" stopIfTrue="1" operator="equal">
      <formula>"N/A"</formula>
    </cfRule>
  </conditionalFormatting>
  <conditionalFormatting sqref="D57:D92">
    <cfRule type="cellIs" dxfId="1100" priority="112" stopIfTrue="1" operator="equal">
      <formula>"N/D"</formula>
    </cfRule>
    <cfRule type="expression" dxfId="1099" priority="107" stopIfTrue="1">
      <formula>ISBLANK(D57)</formula>
    </cfRule>
    <cfRule type="cellIs" dxfId="1098" priority="111" stopIfTrue="1" operator="equal">
      <formula>"N/T"</formula>
    </cfRule>
    <cfRule type="cellIs" dxfId="1097" priority="110" stopIfTrue="1" operator="equal">
      <formula>"N/A"</formula>
    </cfRule>
    <cfRule type="cellIs" dxfId="1096" priority="109" stopIfTrue="1" operator="equal">
      <formula>"Falla"</formula>
    </cfRule>
    <cfRule type="cellIs" dxfId="1095" priority="108" stopIfTrue="1" operator="equal">
      <formula>"Pasa"</formula>
    </cfRule>
  </conditionalFormatting>
  <conditionalFormatting sqref="D95:D130">
    <cfRule type="cellIs" dxfId="1094" priority="94" stopIfTrue="1" operator="equal">
      <formula>"Pasa"</formula>
    </cfRule>
    <cfRule type="cellIs" dxfId="1093" priority="95" stopIfTrue="1" operator="equal">
      <formula>"Falla"</formula>
    </cfRule>
    <cfRule type="cellIs" dxfId="1092" priority="96" stopIfTrue="1" operator="equal">
      <formula>"N/A"</formula>
    </cfRule>
    <cfRule type="cellIs" dxfId="1091" priority="97" stopIfTrue="1" operator="equal">
      <formula>"N/T"</formula>
    </cfRule>
    <cfRule type="cellIs" dxfId="1090" priority="98" stopIfTrue="1" operator="equal">
      <formula>"N/D"</formula>
    </cfRule>
    <cfRule type="expression" dxfId="1089" priority="93" stopIfTrue="1">
      <formula>ISBLANK(D95)</formula>
    </cfRule>
  </conditionalFormatting>
  <conditionalFormatting sqref="D133:D168">
    <cfRule type="cellIs" dxfId="1088" priority="68" stopIfTrue="1" operator="equal">
      <formula>"N/A"</formula>
    </cfRule>
    <cfRule type="expression" dxfId="1087" priority="65" stopIfTrue="1">
      <formula>ISBLANK(D133)</formula>
    </cfRule>
    <cfRule type="cellIs" dxfId="1086" priority="66" stopIfTrue="1" operator="equal">
      <formula>"Pasa"</formula>
    </cfRule>
    <cfRule type="cellIs" dxfId="1085" priority="67" stopIfTrue="1" operator="equal">
      <formula>"Falla"</formula>
    </cfRule>
    <cfRule type="cellIs" dxfId="1084" priority="69" stopIfTrue="1" operator="equal">
      <formula>"N/T"</formula>
    </cfRule>
    <cfRule type="cellIs" dxfId="1083" priority="70" stopIfTrue="1" operator="equal">
      <formula>"N/D"</formula>
    </cfRule>
  </conditionalFormatting>
  <conditionalFormatting sqref="D171:D205">
    <cfRule type="expression" dxfId="1082" priority="51" stopIfTrue="1">
      <formula>ISBLANK(D171)</formula>
    </cfRule>
    <cfRule type="cellIs" dxfId="1081" priority="52" stopIfTrue="1" operator="equal">
      <formula>"Pasa"</formula>
    </cfRule>
    <cfRule type="cellIs" dxfId="1080" priority="53" stopIfTrue="1" operator="equal">
      <formula>"Falla"</formula>
    </cfRule>
    <cfRule type="cellIs" dxfId="1079" priority="54" stopIfTrue="1" operator="equal">
      <formula>"N/A"</formula>
    </cfRule>
    <cfRule type="cellIs" dxfId="1078" priority="55" stopIfTrue="1" operator="equal">
      <formula>"N/T"</formula>
    </cfRule>
    <cfRule type="cellIs" dxfId="1077" priority="56" stopIfTrue="1" operator="equal">
      <formula>"N/D"</formula>
    </cfRule>
  </conditionalFormatting>
  <conditionalFormatting sqref="D209:D243">
    <cfRule type="cellIs" dxfId="1076" priority="31" stopIfTrue="1" operator="equal">
      <formula>"Pasa"</formula>
    </cfRule>
    <cfRule type="expression" dxfId="1075" priority="30" stopIfTrue="1">
      <formula>ISBLANK(D209)</formula>
    </cfRule>
    <cfRule type="cellIs" dxfId="1074" priority="32" stopIfTrue="1" operator="equal">
      <formula>"Falla"</formula>
    </cfRule>
    <cfRule type="cellIs" dxfId="1073" priority="33" stopIfTrue="1" operator="equal">
      <formula>"N/A"</formula>
    </cfRule>
    <cfRule type="cellIs" dxfId="1072" priority="34" stopIfTrue="1" operator="equal">
      <formula>"N/T"</formula>
    </cfRule>
    <cfRule type="cellIs" dxfId="1071" priority="35" stopIfTrue="1" operator="equal">
      <formula>"N/D"</formula>
    </cfRule>
  </conditionalFormatting>
  <conditionalFormatting sqref="D247:D281">
    <cfRule type="cellIs" dxfId="1070" priority="21" stopIfTrue="1" operator="equal">
      <formula>"N/D"</formula>
    </cfRule>
    <cfRule type="cellIs" dxfId="1069" priority="20" stopIfTrue="1" operator="equal">
      <formula>"N/T"</formula>
    </cfRule>
    <cfRule type="cellIs" dxfId="1068" priority="19" stopIfTrue="1" operator="equal">
      <formula>"N/A"</formula>
    </cfRule>
    <cfRule type="cellIs" dxfId="1067" priority="17" stopIfTrue="1" operator="equal">
      <formula>"Pasa"</formula>
    </cfRule>
    <cfRule type="expression" dxfId="1066" priority="16" stopIfTrue="1">
      <formula>ISBLANK(D247)</formula>
    </cfRule>
    <cfRule type="cellIs" dxfId="1065" priority="18" stopIfTrue="1" operator="equal">
      <formula>"Falla"</formula>
    </cfRule>
  </conditionalFormatting>
  <conditionalFormatting sqref="D285:D319">
    <cfRule type="expression" dxfId="1064" priority="2" stopIfTrue="1">
      <formula>ISBLANK(D285)</formula>
    </cfRule>
    <cfRule type="cellIs" dxfId="1063" priority="7" stopIfTrue="1" operator="equal">
      <formula>"N/D"</formula>
    </cfRule>
    <cfRule type="cellIs" dxfId="1062" priority="6" stopIfTrue="1" operator="equal">
      <formula>"N/T"</formula>
    </cfRule>
    <cfRule type="cellIs" dxfId="1061" priority="5" stopIfTrue="1" operator="equal">
      <formula>"N/A"</formula>
    </cfRule>
    <cfRule type="cellIs" dxfId="1060" priority="4" stopIfTrue="1" operator="equal">
      <formula>"Falla"</formula>
    </cfRule>
    <cfRule type="cellIs" dxfId="1059" priority="3" stopIfTrue="1" operator="equal">
      <formula>"Pasa"</formula>
    </cfRule>
  </conditionalFormatting>
  <conditionalFormatting sqref="D323:D357">
    <cfRule type="cellIs" dxfId="1058" priority="272" stopIfTrue="1" operator="equal">
      <formula>"N/D"</formula>
    </cfRule>
    <cfRule type="cellIs" dxfId="1057" priority="271" stopIfTrue="1" operator="equal">
      <formula>"N/T"</formula>
    </cfRule>
    <cfRule type="cellIs" dxfId="1056" priority="270" stopIfTrue="1" operator="equal">
      <formula>"N/A"</formula>
    </cfRule>
    <cfRule type="cellIs" dxfId="1055" priority="269" stopIfTrue="1" operator="equal">
      <formula>"Falla"</formula>
    </cfRule>
    <cfRule type="cellIs" dxfId="1054" priority="268" stopIfTrue="1" operator="equal">
      <formula>"Pasa"</formula>
    </cfRule>
    <cfRule type="expression" dxfId="1053" priority="267" stopIfTrue="1">
      <formula>ISBLANK(D323)</formula>
    </cfRule>
  </conditionalFormatting>
  <conditionalFormatting sqref="D361:D395">
    <cfRule type="cellIs" dxfId="1052" priority="256" stopIfTrue="1" operator="equal">
      <formula>"N/T"</formula>
    </cfRule>
    <cfRule type="expression" dxfId="1051" priority="252" stopIfTrue="1">
      <formula>ISBLANK(D361)</formula>
    </cfRule>
    <cfRule type="cellIs" dxfId="1050" priority="253" stopIfTrue="1" operator="equal">
      <formula>"Pasa"</formula>
    </cfRule>
    <cfRule type="cellIs" dxfId="1049" priority="254" stopIfTrue="1" operator="equal">
      <formula>"Falla"</formula>
    </cfRule>
    <cfRule type="cellIs" dxfId="1048" priority="255" stopIfTrue="1" operator="equal">
      <formula>"N/A"</formula>
    </cfRule>
    <cfRule type="cellIs" dxfId="1047" priority="257" stopIfTrue="1" operator="equal">
      <formula>"N/D"</formula>
    </cfRule>
  </conditionalFormatting>
  <conditionalFormatting sqref="D399:D433">
    <cfRule type="cellIs" dxfId="1046" priority="241" stopIfTrue="1" operator="equal">
      <formula>"N/T"</formula>
    </cfRule>
    <cfRule type="cellIs" dxfId="1045" priority="242" stopIfTrue="1" operator="equal">
      <formula>"N/D"</formula>
    </cfRule>
    <cfRule type="expression" dxfId="1044" priority="237" stopIfTrue="1">
      <formula>ISBLANK(D399)</formula>
    </cfRule>
    <cfRule type="cellIs" dxfId="1043" priority="238" stopIfTrue="1" operator="equal">
      <formula>"Pasa"</formula>
    </cfRule>
    <cfRule type="cellIs" dxfId="1042" priority="239" stopIfTrue="1" operator="equal">
      <formula>"Falla"</formula>
    </cfRule>
    <cfRule type="cellIs" dxfId="1041" priority="240" stopIfTrue="1" operator="equal">
      <formula>"N/A"</formula>
    </cfRule>
  </conditionalFormatting>
  <conditionalFormatting sqref="D437:D471 D475:D509 D551:D585 D589:D623 F19:J19 F57:J57 F95:J95 F133:J133 F171:J171 F209:J209 F247:J247 F285:J285 F323:J323 F361:J361 F399:J399 F437:J437 F475:J475 F513:J513 F551:J551 F589:J589 F627:J627 F665:J665 F703:J703">
    <cfRule type="expression" dxfId="1040" priority="477" stopIfTrue="1">
      <formula>ISBLANK(D19)</formula>
    </cfRule>
  </conditionalFormatting>
  <conditionalFormatting sqref="D513:D547">
    <cfRule type="expression" dxfId="1039" priority="223" stopIfTrue="1">
      <formula>ISBLANK(D513)</formula>
    </cfRule>
    <cfRule type="cellIs" dxfId="1038" priority="224" stopIfTrue="1" operator="equal">
      <formula>"Pasa"</formula>
    </cfRule>
    <cfRule type="cellIs" dxfId="1037" priority="226" stopIfTrue="1" operator="equal">
      <formula>"N/A"</formula>
    </cfRule>
    <cfRule type="cellIs" dxfId="1036" priority="227" stopIfTrue="1" operator="equal">
      <formula>"N/T"</formula>
    </cfRule>
    <cfRule type="cellIs" dxfId="1035" priority="228" stopIfTrue="1" operator="equal">
      <formula>"N/D"</formula>
    </cfRule>
    <cfRule type="cellIs" dxfId="1034" priority="225" stopIfTrue="1" operator="equal">
      <formula>"Falla"</formula>
    </cfRule>
  </conditionalFormatting>
  <conditionalFormatting sqref="D627:D661">
    <cfRule type="cellIs" dxfId="1033" priority="184" stopIfTrue="1" operator="equal">
      <formula>"N/A"</formula>
    </cfRule>
    <cfRule type="cellIs" dxfId="1032" priority="186" stopIfTrue="1" operator="equal">
      <formula>"N/D"</formula>
    </cfRule>
    <cfRule type="cellIs" dxfId="1031" priority="185" stopIfTrue="1" operator="equal">
      <formula>"N/T"</formula>
    </cfRule>
    <cfRule type="expression" dxfId="1030" priority="181" stopIfTrue="1">
      <formula>ISBLANK(D627)</formula>
    </cfRule>
    <cfRule type="cellIs" dxfId="1029" priority="182" stopIfTrue="1" operator="equal">
      <formula>"Pasa"</formula>
    </cfRule>
    <cfRule type="cellIs" dxfId="1028" priority="183" stopIfTrue="1" operator="equal">
      <formula>"Falla"</formula>
    </cfRule>
  </conditionalFormatting>
  <conditionalFormatting sqref="D665:D699">
    <cfRule type="cellIs" dxfId="1027" priority="170" stopIfTrue="1" operator="equal">
      <formula>"N/A"</formula>
    </cfRule>
    <cfRule type="cellIs" dxfId="1026" priority="171" stopIfTrue="1" operator="equal">
      <formula>"N/T"</formula>
    </cfRule>
    <cfRule type="cellIs" dxfId="1025" priority="172" stopIfTrue="1" operator="equal">
      <formula>"N/D"</formula>
    </cfRule>
    <cfRule type="expression" dxfId="1024" priority="167" stopIfTrue="1">
      <formula>ISBLANK(D665)</formula>
    </cfRule>
    <cfRule type="cellIs" dxfId="1023" priority="168" stopIfTrue="1" operator="equal">
      <formula>"Pasa"</formula>
    </cfRule>
    <cfRule type="cellIs" dxfId="1022" priority="169" stopIfTrue="1" operator="equal">
      <formula>"Falla"</formula>
    </cfRule>
  </conditionalFormatting>
  <conditionalFormatting sqref="D703:D737">
    <cfRule type="cellIs" dxfId="1021" priority="154" stopIfTrue="1" operator="equal">
      <formula>"Pasa"</formula>
    </cfRule>
    <cfRule type="cellIs" dxfId="1020" priority="155" stopIfTrue="1" operator="equal">
      <formula>"Falla"</formula>
    </cfRule>
    <cfRule type="cellIs" dxfId="1019" priority="158" stopIfTrue="1" operator="equal">
      <formula>"N/D"</formula>
    </cfRule>
    <cfRule type="cellIs" dxfId="1018" priority="156" stopIfTrue="1" operator="equal">
      <formula>"N/A"</formula>
    </cfRule>
    <cfRule type="cellIs" dxfId="1017" priority="157" stopIfTrue="1" operator="equal">
      <formula>"N/T"</formula>
    </cfRule>
    <cfRule type="expression" dxfId="1016" priority="153" stopIfTrue="1">
      <formula>ISBLANK(D703)</formula>
    </cfRule>
  </conditionalFormatting>
  <conditionalFormatting sqref="E19:E53 E57:E92 E437:E471 E475:E509 E551:E585 E589:E623">
    <cfRule type="cellIs" dxfId="1015" priority="483" stopIfTrue="1" operator="equal">
      <formula>"ERR"</formula>
    </cfRule>
  </conditionalFormatting>
  <conditionalFormatting sqref="E95:E130">
    <cfRule type="cellIs" dxfId="1014" priority="361" stopIfTrue="1" operator="equal">
      <formula>"ERR"</formula>
    </cfRule>
  </conditionalFormatting>
  <conditionalFormatting sqref="E133:E168">
    <cfRule type="cellIs" dxfId="1013" priority="347" stopIfTrue="1" operator="equal">
      <formula>"ERR"</formula>
    </cfRule>
  </conditionalFormatting>
  <conditionalFormatting sqref="E171:E205">
    <cfRule type="cellIs" dxfId="1012" priority="333" stopIfTrue="1" operator="equal">
      <formula>"ERR"</formula>
    </cfRule>
  </conditionalFormatting>
  <conditionalFormatting sqref="E209:E243">
    <cfRule type="cellIs" dxfId="1011" priority="318" stopIfTrue="1" operator="equal">
      <formula>"ERR"</formula>
    </cfRule>
  </conditionalFormatting>
  <conditionalFormatting sqref="E247:E281">
    <cfRule type="cellIs" dxfId="1010" priority="303" stopIfTrue="1" operator="equal">
      <formula>"ERR"</formula>
    </cfRule>
  </conditionalFormatting>
  <conditionalFormatting sqref="E285:E319">
    <cfRule type="cellIs" dxfId="1009" priority="288" stopIfTrue="1" operator="equal">
      <formula>"ERR"</formula>
    </cfRule>
  </conditionalFormatting>
  <conditionalFormatting sqref="E323:E357">
    <cfRule type="cellIs" dxfId="1008" priority="273" stopIfTrue="1" operator="equal">
      <formula>"ERR"</formula>
    </cfRule>
  </conditionalFormatting>
  <conditionalFormatting sqref="E361:E395">
    <cfRule type="cellIs" dxfId="1007" priority="258" stopIfTrue="1" operator="equal">
      <formula>"ERR"</formula>
    </cfRule>
  </conditionalFormatting>
  <conditionalFormatting sqref="E399:E433">
    <cfRule type="cellIs" dxfId="1006" priority="243" stopIfTrue="1" operator="equal">
      <formula>"ERR"</formula>
    </cfRule>
  </conditionalFormatting>
  <conditionalFormatting sqref="E513:E547">
    <cfRule type="cellIs" dxfId="1005" priority="229" stopIfTrue="1" operator="equal">
      <formula>"ERR"</formula>
    </cfRule>
  </conditionalFormatting>
  <conditionalFormatting sqref="E627:E661">
    <cfRule type="cellIs" dxfId="1004" priority="187" stopIfTrue="1" operator="equal">
      <formula>"ERR"</formula>
    </cfRule>
  </conditionalFormatting>
  <conditionalFormatting sqref="E665:E699">
    <cfRule type="cellIs" dxfId="1003" priority="173" stopIfTrue="1" operator="equal">
      <formula>"ERR"</formula>
    </cfRule>
  </conditionalFormatting>
  <conditionalFormatting sqref="E703:E737">
    <cfRule type="cellIs" dxfId="1002" priority="159" stopIfTrue="1" operator="equal">
      <formula>"ERR"</formula>
    </cfRule>
  </conditionalFormatting>
  <conditionalFormatting sqref="F19:J19 F57:J57 F95:J95 F133:J133 F171:J171 F209:J209 F247:J247 F285:J285 F323:J323 F361:J361 F399:J399 F437:J437 D437:D471 F475:J475 D475:D509 F513:J513 F551:J551 D551:D585 F589:J589 D589:D623 F627:J627 F665:J665 F703:J703">
    <cfRule type="cellIs" dxfId="1001" priority="478" stopIfTrue="1" operator="equal">
      <formula>"Pasa"</formula>
    </cfRule>
    <cfRule type="cellIs" dxfId="1000" priority="479" stopIfTrue="1" operator="equal">
      <formula>"Falla"</formula>
    </cfRule>
    <cfRule type="cellIs" dxfId="999" priority="480" stopIfTrue="1" operator="equal">
      <formula>"N/A"</formula>
    </cfRule>
    <cfRule type="cellIs" dxfId="998" priority="481" stopIfTrue="1" operator="equal">
      <formula>"N/T"</formula>
    </cfRule>
    <cfRule type="cellIs" dxfId="997" priority="482" stopIfTrue="1" operator="equal">
      <formula>"N/D"</formula>
    </cfRule>
  </conditionalFormatting>
  <conditionalFormatting sqref="K23:K24">
    <cfRule type="cellIs" dxfId="996" priority="137" stopIfTrue="1" operator="equal">
      <formula>"N/A"</formula>
    </cfRule>
    <cfRule type="expression" dxfId="995" priority="134" stopIfTrue="1">
      <formula>ISBLANK(K23)</formula>
    </cfRule>
    <cfRule type="cellIs" dxfId="994" priority="135" stopIfTrue="1" operator="equal">
      <formula>"Pasa"</formula>
    </cfRule>
    <cfRule type="cellIs" dxfId="993" priority="136" stopIfTrue="1" operator="equal">
      <formula>"Falla"</formula>
    </cfRule>
    <cfRule type="cellIs" dxfId="992" priority="139" stopIfTrue="1" operator="equal">
      <formula>"N/D"</formula>
    </cfRule>
    <cfRule type="cellIs" dxfId="991" priority="138"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23" sqref="D323:D34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165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213</v>
      </c>
      <c r="C8" s="18"/>
      <c r="D8" s="79"/>
      <c r="E8" s="79"/>
      <c r="F8" s="18"/>
      <c r="G8" s="18"/>
      <c r="H8" s="18"/>
      <c r="I8" s="18"/>
      <c r="J8" s="18"/>
      <c r="K8" s="18"/>
      <c r="L8" s="18"/>
      <c r="M8" s="18"/>
      <c r="N8" s="18"/>
      <c r="O8" s="18"/>
    </row>
    <row r="9" spans="1:64" ht="30" customHeight="1">
      <c r="B9" s="231" t="s">
        <v>167</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168</v>
      </c>
      <c r="C11" s="230"/>
      <c r="D11" s="26"/>
      <c r="E11" s="14"/>
      <c r="F11" s="196" t="s">
        <v>169</v>
      </c>
      <c r="G11" s="105" t="s">
        <v>170</v>
      </c>
      <c r="H11" s="197" t="s">
        <v>171</v>
      </c>
      <c r="I11" s="22"/>
      <c r="J11" s="196" t="s">
        <v>172</v>
      </c>
      <c r="K11" s="105" t="s">
        <v>170</v>
      </c>
      <c r="L11" s="197" t="s">
        <v>171</v>
      </c>
      <c r="M11" s="18"/>
      <c r="N11" s="18"/>
      <c r="O11" s="18"/>
      <c r="P11" s="18"/>
      <c r="Q11" s="18"/>
      <c r="R11" s="18"/>
      <c r="U11" s="18"/>
      <c r="V11" s="18"/>
      <c r="W11" s="18"/>
      <c r="X11" s="18"/>
      <c r="Y11" s="18"/>
    </row>
    <row r="12" spans="1:64" ht="12" customHeight="1">
      <c r="B12" s="108" t="s">
        <v>173</v>
      </c>
      <c r="C12" s="198">
        <f>COUNTIF($B$18:$B$4076,B12)</f>
        <v>9</v>
      </c>
      <c r="D12" s="26"/>
      <c r="E12" s="14"/>
      <c r="F12" s="199" t="s">
        <v>174</v>
      </c>
      <c r="G12" s="72">
        <f ca="1">J20+J58+J96+J134+J172+J210+J248+J286+J324</f>
        <v>6</v>
      </c>
      <c r="H12" s="42">
        <f ca="1">IF(($G$15+$K$15)=0,0,G12/($G$15+$K$15))</f>
        <v>3.3333333333333333E-2</v>
      </c>
      <c r="I12" s="26"/>
      <c r="J12" s="183" t="s">
        <v>175</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176</v>
      </c>
      <c r="G13" s="72">
        <f ca="1">I20+I58+I96+I134+I172+I210+I248+I286+I324</f>
        <v>9</v>
      </c>
      <c r="H13" s="42">
        <f ca="1">IF(($G$15+$K$15)=0,0,G13/($G$15+$K$15))</f>
        <v>0.05</v>
      </c>
      <c r="I13" s="26"/>
      <c r="J13" s="183" t="s">
        <v>177</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178</v>
      </c>
      <c r="C14" s="201">
        <f>C12+C13</f>
        <v>9</v>
      </c>
      <c r="D14" s="26"/>
      <c r="E14" s="14"/>
      <c r="F14" s="199" t="s">
        <v>179</v>
      </c>
      <c r="G14" s="72">
        <f ca="1">H20+H58+H96+H134+H172+H210+H248+H286+H324</f>
        <v>165</v>
      </c>
      <c r="H14" s="42">
        <f ca="1">IF(($G$15+$K$15)=0,0,G14/($G$15+$K$15))</f>
        <v>0.91666666666666663</v>
      </c>
      <c r="I14" s="26"/>
      <c r="J14" s="183" t="s">
        <v>180</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178</v>
      </c>
      <c r="G15" s="203">
        <f ca="1">SUM(G12:G14)</f>
        <v>180</v>
      </c>
      <c r="H15" s="204">
        <f ca="1">SUM(H12:H14)</f>
        <v>1</v>
      </c>
      <c r="I15" s="26"/>
      <c r="J15" s="200" t="s">
        <v>178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181</v>
      </c>
      <c r="B18" s="23" t="s">
        <v>173</v>
      </c>
      <c r="C18" s="24" t="s">
        <v>214</v>
      </c>
      <c r="D18" s="25" t="s">
        <v>183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https://elecciones.comunidad.madrid/es</v>
      </c>
      <c r="D19" s="99" t="s">
        <v>176</v>
      </c>
      <c r="E19" s="79" t="str">
        <f t="shared" ref="E19:E53" si="0">IF(D19&lt;&gt;"",IF(AND(B19&lt;&gt;"",C19&lt;&gt;""),"","ERR"),"")</f>
        <v/>
      </c>
      <c r="F19" s="86" t="s">
        <v>185</v>
      </c>
      <c r="G19" s="87" t="s">
        <v>186</v>
      </c>
      <c r="H19" s="88" t="s">
        <v>184</v>
      </c>
      <c r="I19" s="89" t="s">
        <v>176</v>
      </c>
      <c r="J19" s="90" t="s">
        <v>174</v>
      </c>
      <c r="K19" s="179" t="s">
        <v>180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Resultado Elecciones 28M 2023</v>
      </c>
      <c r="C20" s="85" t="str" cm="1">
        <f t="array" ref="C20">IFERROR(INDEX('03.Muestra'!$F$8:$F$42,SMALL(IF("Página Web"='03.Muestra'!$D$8:$D$42,ROW('03.Muestra'!$F$8:$F$42)-MIN(ROW('03.Muestra'!$D$8:$D$42))+1,""),ROW()-18)),"")</f>
        <v>https://elecciones.comunidad.madrid/es/resultados-elecciones-asamblea-madrid-28m-2023</v>
      </c>
      <c r="D20" s="99" t="s">
        <v>184</v>
      </c>
      <c r="E20" s="79" t="str">
        <f t="shared" si="0"/>
        <v/>
      </c>
      <c r="F20" s="91">
        <f ca="1">COUNTIF($D19:INDIRECT("$D" &amp;  SUM(ROW()-1,'03.Muestra'!$D$45)-1),F19)</f>
        <v>0</v>
      </c>
      <c r="G20" s="91">
        <f ca="1">COUNTIF($D19:INDIRECT("$D" &amp;  SUM(ROW()-1,'03.Muestra'!$D$45)-1),G19)</f>
        <v>0</v>
      </c>
      <c r="H20" s="91">
        <f ca="1">COUNTIF($D19:INDIRECT("$D" &amp;  SUM(ROW()-1,'03.Muestra'!$D$45)-1),H19)</f>
        <v>16</v>
      </c>
      <c r="I20" s="91">
        <f ca="1">COUNTIF($D19:INDIRECT("$D" &amp;  SUM(ROW()-1,'03.Muestra'!$D$45)-1),I19)</f>
        <v>1</v>
      </c>
      <c r="J20" s="91">
        <f ca="1">COUNTIF($D19:INDIRECT("$D" &amp;  SUM(ROW()-1,'03.Muestra'!$D$45)-1),J19)</f>
        <v>3</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Normativa electoral</v>
      </c>
      <c r="C21" s="85" t="str" cm="1">
        <f t="array" ref="C21">IFERROR(INDEX('03.Muestra'!$F$8:$F$42,SMALL(IF("Página Web"='03.Muestra'!$D$8:$D$42,ROW('03.Muestra'!$F$8:$F$42)-MIN(ROW('03.Muestra'!$D$8:$D$42))+1,""),ROW()-18)),"")</f>
        <v>https://elecciones.comunidad.madrid/es/informacion-electoral/normativa-electoral</v>
      </c>
      <c r="D21" s="99" t="s">
        <v>184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 electoral</v>
      </c>
      <c r="C22" s="85" t="str" cm="1">
        <f t="array" ref="C22">IFERROR(INDEX('03.Muestra'!$F$8:$F$42,SMALL(IF("Página Web"='03.Muestra'!$D$8:$D$42,ROW('03.Muestra'!$F$8:$F$42)-MIN(ROW('03.Muestra'!$D$8:$D$42))+1,""),ROW()-18)),"")</f>
        <v>https://elecciones.comunidad.madrid/es/informacion-electoral/calendario-electoral</v>
      </c>
      <c r="D22" s="99" t="s">
        <v>184</v>
      </c>
      <c r="E22" s="79" t="str">
        <f t="shared" si="0"/>
        <v/>
      </c>
      <c r="F22" s="18"/>
      <c r="G22" s="18"/>
      <c r="H22" s="18"/>
      <c r="I22" s="18"/>
      <c r="K22" s="170" t="s">
        <v>185</v>
      </c>
      <c r="L22" s="92" t="s">
        <v>187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Direcciones y teléfonos</v>
      </c>
      <c r="C23" s="85" t="str" cm="1">
        <f t="array" ref="C23">IFERROR(INDEX('03.Muestra'!$F$8:$F$42,SMALL(IF("Página Web"='03.Muestra'!$D$8:$D$42,ROW('03.Muestra'!$F$8:$F$42)-MIN(ROW('03.Muestra'!$D$8:$D$42))+1,""),ROW()-18)),"")</f>
        <v>https://elecciones.comunidad.madrid/es/juntas-electorales/direcciones-telefonos</v>
      </c>
      <c r="D23" s="99" t="s">
        <v>184</v>
      </c>
      <c r="E23" s="79" t="str">
        <f t="shared" si="0"/>
        <v/>
      </c>
      <c r="F23" s="78"/>
      <c r="G23" s="18"/>
      <c r="H23" s="18"/>
      <c r="I23" s="18"/>
      <c r="K23" s="88" t="s">
        <v>184</v>
      </c>
      <c r="L23" s="92" t="s">
        <v>188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Impresos electrónicos</v>
      </c>
      <c r="C24" s="85" t="str" cm="1">
        <f t="array" ref="C24">IFERROR(INDEX('03.Muestra'!$F$8:$F$42,SMALL(IF("Página Web"='03.Muestra'!$D$8:$D$42,ROW('03.Muestra'!$F$8:$F$42)-MIN(ROW('03.Muestra'!$D$8:$D$42))+1,""),ROW()-18)),"")</f>
        <v>https://elecciones.comunidad.madrid/es/formaciones-politicas/impresos-electronicos</v>
      </c>
      <c r="D24" s="99" t="s">
        <v>184</v>
      </c>
      <c r="E24" s="79" t="str">
        <f t="shared" si="0"/>
        <v/>
      </c>
      <c r="F24" s="18"/>
      <c r="G24" s="18"/>
      <c r="H24" s="18"/>
      <c r="I24" s="18"/>
      <c r="K24" s="87" t="s">
        <v>186</v>
      </c>
      <c r="L24" s="92" t="s">
        <v>189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Listado de candidaturas</v>
      </c>
      <c r="C25" s="85" t="str" cm="1">
        <f t="array" ref="C25">IFERROR(INDEX('03.Muestra'!$F$8:$F$42,SMALL(IF("Página Web"='03.Muestra'!$D$8:$D$42,ROW('03.Muestra'!$F$8:$F$42)-MIN(ROW('03.Muestra'!$D$8:$D$42))+1,""),ROW()-18)),"")</f>
        <v>https://elecciones.comunidad.madrid/es/formaciones-politicas/listado-candidaturas-proclamadas</v>
      </c>
      <c r="D25" s="99" t="s">
        <v>184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Partido Feminista de España</v>
      </c>
      <c r="C26" s="85" t="str" cm="1">
        <f t="array" ref="C26">IFERROR(INDEX('03.Muestra'!$F$8:$F$42,SMALL(IF("Página Web"='03.Muestra'!$D$8:$D$42,ROW('03.Muestra'!$F$8:$F$42)-MIN(ROW('03.Muestra'!$D$8:$D$42))+1,""),ROW()-18)),"")</f>
        <v>https://elecciones.comunidad.madrid/es/formaciones-politicas/listado-candidaturas/partido-feminista-espana</v>
      </c>
      <c r="D26" s="99" t="s">
        <v>184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¿Dónde voto?</v>
      </c>
      <c r="C27" s="85" t="str" cm="1">
        <f t="array" ref="C27">IFERROR(INDEX('03.Muestra'!$F$8:$F$42,SMALL(IF("Página Web"='03.Muestra'!$D$8:$D$42,ROW('03.Muestra'!$F$8:$F$42)-MIN(ROW('03.Muestra'!$D$8:$D$42))+1,""),ROW()-18)),"")</f>
        <v>https://elecciones.comunidad.madrid/es/votar/donde-voto</v>
      </c>
      <c r="D27" s="99" t="s">
        <v>184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Voto presencial</v>
      </c>
      <c r="C28" s="85" t="str" cm="1">
        <f t="array" ref="C28">IFERROR(INDEX('03.Muestra'!$F$8:$F$42,SMALL(IF("Página Web"='03.Muestra'!$D$8:$D$42,ROW('03.Muestra'!$F$8:$F$42)-MIN(ROW('03.Muestra'!$D$8:$D$42))+1,""),ROW()-18)),"")</f>
        <v>https://elecciones.comunidad.madrid/es/voto-local-electoral/voto-presencial</v>
      </c>
      <c r="D28" s="99" t="s">
        <v>174</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Ciudadanos temporalmente en el extranjero</v>
      </c>
      <c r="C29" s="85" t="str" cm="1">
        <f t="array" ref="C29">IFERROR(INDEX('03.Muestra'!$F$8:$F$42,SMALL(IF("Página Web"='03.Muestra'!$D$8:$D$42,ROW('03.Muestra'!$F$8:$F$42)-MIN(ROW('03.Muestra'!$D$8:$D$42))+1,""),ROW()-18)),"")</f>
        <v>https://elecciones.comunidad.madrid/es/voto-correo/solicitud-voto-temporalmente-ausentes</v>
      </c>
      <c r="D29" s="99" t="s">
        <v>174</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Nuevo votante</v>
      </c>
      <c r="C30" s="85" t="str" cm="1">
        <f t="array" ref="C30">IFERROR(INDEX('03.Muestra'!$F$8:$F$42,SMALL(IF("Página Web"='03.Muestra'!$D$8:$D$42,ROW('03.Muestra'!$F$8:$F$42)-MIN(ROW('03.Muestra'!$D$8:$D$42))+1,""),ROW()-18)),"")</f>
        <v>https://elecciones.comunidad.madrid/es/votar/nuevo-votante</v>
      </c>
      <c r="D30" s="99" t="s">
        <v>174</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Simulación método D'Hondt</v>
      </c>
      <c r="C31" s="85" t="str" cm="1">
        <f t="array" ref="C31">IFERROR(INDEX('03.Muestra'!$F$8:$F$42,SMALL(IF("Página Web"='03.Muestra'!$D$8:$D$42,ROW('03.Muestra'!$F$8:$F$42)-MIN(ROW('03.Muestra'!$D$8:$D$42))+1,""),ROW()-18)),"")</f>
        <v>https://elecciones.comunidad.madrid/es/informacion-util/simulacion-metodo-dhondt</v>
      </c>
      <c r="D31" s="99" t="s">
        <v>184</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Ley D'Hondt</v>
      </c>
      <c r="C32" s="85" t="str" cm="1">
        <f t="array" ref="C32">IFERROR(INDEX('03.Muestra'!$F$8:$F$42,SMALL(IF("Página Web"='03.Muestra'!$D$8:$D$42,ROW('03.Muestra'!$F$8:$F$42)-MIN(ROW('03.Muestra'!$D$8:$D$42))+1,""),ROW()-18)),"")</f>
        <v>https://elecciones.comunidad.madrid/es/resultados/ley_d_hondt</v>
      </c>
      <c r="D32" s="99" t="s">
        <v>184</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Voto por correo elector CERA en España</v>
      </c>
      <c r="C33" s="85" t="str" cm="1">
        <f t="array" ref="C33">IFERROR(INDEX('03.Muestra'!$F$8:$F$42,SMALL(IF("Página Web"='03.Muestra'!$D$8:$D$42,ROW('03.Muestra'!$F$8:$F$42)-MIN(ROW('03.Muestra'!$D$8:$D$42))+1,""),ROW()-18)),"")</f>
        <v>https://elecciones.comunidad.madrid/es/preguntas-frecuentes/voto-correo-electores-residentes-extranjero</v>
      </c>
      <c r="D33" s="99" t="s">
        <v>184</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https://elecciones.comunidad.madrid/es/buzon-de-sugerencias</v>
      </c>
      <c r="D34" s="99" t="s">
        <v>184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https://elecciones.comunidad.madrid/es/search?search_api_fulltext=partido</v>
      </c>
      <c r="D35" s="99" t="s">
        <v>184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Legal-Privacidad</v>
      </c>
      <c r="C36" s="85" t="str" cm="1">
        <f t="array" ref="C36">IFERROR(INDEX('03.Muestra'!$F$8:$F$42,SMALL(IF("Página Web"='03.Muestra'!$D$8:$D$42,ROW('03.Muestra'!$F$8:$F$42)-MIN(ROW('03.Muestra'!$D$8:$D$42))+1,""),ROW()-18)),"")</f>
        <v>https://elecciones.comunidad.madrid/es/aviso-legal</v>
      </c>
      <c r="D36" s="99" t="s">
        <v>184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https://elecciones.comunidad.madrid/es/sitemap</v>
      </c>
      <c r="D37" s="99" t="s">
        <v>184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Declaracion Accesibilidad</v>
      </c>
      <c r="C38" s="85" t="str" cm="1">
        <f t="array" ref="C38">IFERROR(INDEX('03.Muestra'!$F$8:$F$42,SMALL(IF("Página Web"='03.Muestra'!$D$8:$D$42,ROW('03.Muestra'!$F$8:$F$42)-MIN(ROW('03.Muestra'!$D$8:$D$42))+1,""),ROW()-18)),"")</f>
        <v>https://elecciones.comunidad.madrid/es/accesibilidad</v>
      </c>
      <c r="D38" s="99" t="s">
        <v>184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181</v>
      </c>
      <c r="B56" s="23" t="s">
        <v>173</v>
      </c>
      <c r="C56" s="24" t="s">
        <v>215</v>
      </c>
      <c r="D56" s="25" t="s">
        <v>183</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https://elecciones.comunidad.madrid/es</v>
      </c>
      <c r="D57" s="99" t="s">
        <v>184</v>
      </c>
      <c r="E57" s="79" t="str">
        <f t="shared" ref="E57:E91" si="2">IF(D57&lt;&gt;"",IF(AND(B57&lt;&gt;"",C57&lt;&gt;""),"","ERR"),"")</f>
        <v/>
      </c>
      <c r="F57" s="86" t="s">
        <v>185</v>
      </c>
      <c r="G57" s="87" t="s">
        <v>186</v>
      </c>
      <c r="H57" s="88" t="s">
        <v>184</v>
      </c>
      <c r="I57" s="89" t="s">
        <v>176</v>
      </c>
      <c r="J57" s="90" t="s">
        <v>174</v>
      </c>
      <c r="K57" s="179" t="s">
        <v>180</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Resultado Elecciones 28M 2023</v>
      </c>
      <c r="C58" s="85" t="str" cm="1">
        <f t="array" ref="C58">IFERROR(INDEX('03.Muestra'!$F$8:$F$42,SMALL(IF("Página Web"='03.Muestra'!$D$8:$D$42,ROW('03.Muestra'!$F$8:$F$42)-MIN(ROW('03.Muestra'!$D$8:$D$42))+1,""),ROW()-56)),"")</f>
        <v>https://elecciones.comunidad.madrid/es/resultados-elecciones-asamblea-madrid-28m-2023</v>
      </c>
      <c r="D58" s="99" t="s">
        <v>184</v>
      </c>
      <c r="E58" s="79" t="str">
        <f t="shared" si="2"/>
        <v/>
      </c>
      <c r="F58" s="91">
        <f ca="1">COUNTIF($D57:INDIRECT("$D" &amp;  SUM(ROW()-1,'03.Muestra'!$D$45)-1),F57)</f>
        <v>0</v>
      </c>
      <c r="G58" s="91">
        <f ca="1">COUNTIF($D57:INDIRECT("$D" &amp;  SUM(ROW()-1,'03.Muestra'!$D$45)-1),G57)</f>
        <v>0</v>
      </c>
      <c r="H58" s="91">
        <f ca="1">COUNTIF($D57:INDIRECT("$D" &amp;  SUM(ROW()-1,'03.Muestra'!$D$45)-1),H57)</f>
        <v>17</v>
      </c>
      <c r="I58" s="91">
        <f ca="1">COUNTIF($D57:INDIRECT("$D" &amp;  SUM(ROW()-1,'03.Muestra'!$D$45)-1),I57)</f>
        <v>0</v>
      </c>
      <c r="J58" s="91">
        <f ca="1">COUNTIF($D57:INDIRECT("$D" &amp;  SUM(ROW()-1,'03.Muestra'!$D$45)-1),J57)</f>
        <v>3</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Normativa electoral</v>
      </c>
      <c r="C59" s="85" t="str" cm="1">
        <f t="array" ref="C59">IFERROR(INDEX('03.Muestra'!$F$8:$F$42,SMALL(IF("Página Web"='03.Muestra'!$D$8:$D$42,ROW('03.Muestra'!$F$8:$F$42)-MIN(ROW('03.Muestra'!$D$8:$D$42))+1,""),ROW()-56)),"")</f>
        <v>https://elecciones.comunidad.madrid/es/informacion-electoral/normativa-electoral</v>
      </c>
      <c r="D59" s="99" t="s">
        <v>184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 electoral</v>
      </c>
      <c r="C60" s="85" t="str" cm="1">
        <f t="array" ref="C60">IFERROR(INDEX('03.Muestra'!$F$8:$F$42,SMALL(IF("Página Web"='03.Muestra'!$D$8:$D$42,ROW('03.Muestra'!$F$8:$F$42)-MIN(ROW('03.Muestra'!$D$8:$D$42))+1,""),ROW()-56)),"")</f>
        <v>https://elecciones.comunidad.madrid/es/informacion-electoral/calendario-electoral</v>
      </c>
      <c r="D60" s="99" t="s">
        <v>184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Direcciones y teléfonos</v>
      </c>
      <c r="C61" s="85" t="str" cm="1">
        <f t="array" ref="C61">IFERROR(INDEX('03.Muestra'!$F$8:$F$42,SMALL(IF("Página Web"='03.Muestra'!$D$8:$D$42,ROW('03.Muestra'!$F$8:$F$42)-MIN(ROW('03.Muestra'!$D$8:$D$42))+1,""),ROW()-56)),"")</f>
        <v>https://elecciones.comunidad.madrid/es/juntas-electorales/direcciones-telefonos</v>
      </c>
      <c r="D61" s="99" t="s">
        <v>184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Impresos electrónicos</v>
      </c>
      <c r="C62" s="85" t="str" cm="1">
        <f t="array" ref="C62">IFERROR(INDEX('03.Muestra'!$F$8:$F$42,SMALL(IF("Página Web"='03.Muestra'!$D$8:$D$42,ROW('03.Muestra'!$F$8:$F$42)-MIN(ROW('03.Muestra'!$D$8:$D$42))+1,""),ROW()-56)),"")</f>
        <v>https://elecciones.comunidad.madrid/es/formaciones-politicas/impresos-electronicos</v>
      </c>
      <c r="D62" s="99" t="s">
        <v>184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Listado de candidaturas</v>
      </c>
      <c r="C63" s="85" t="str" cm="1">
        <f t="array" ref="C63">IFERROR(INDEX('03.Muestra'!$F$8:$F$42,SMALL(IF("Página Web"='03.Muestra'!$D$8:$D$42,ROW('03.Muestra'!$F$8:$F$42)-MIN(ROW('03.Muestra'!$D$8:$D$42))+1,""),ROW()-56)),"")</f>
        <v>https://elecciones.comunidad.madrid/es/formaciones-politicas/listado-candidaturas-proclamadas</v>
      </c>
      <c r="D63" s="99" t="s">
        <v>184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Partido Feminista de España</v>
      </c>
      <c r="C64" s="85" t="str" cm="1">
        <f t="array" ref="C64">IFERROR(INDEX('03.Muestra'!$F$8:$F$42,SMALL(IF("Página Web"='03.Muestra'!$D$8:$D$42,ROW('03.Muestra'!$F$8:$F$42)-MIN(ROW('03.Muestra'!$D$8:$D$42))+1,""),ROW()-56)),"")</f>
        <v>https://elecciones.comunidad.madrid/es/formaciones-politicas/listado-candidaturas/partido-feminista-espana</v>
      </c>
      <c r="D64" s="99" t="s">
        <v>184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¿Dónde voto?</v>
      </c>
      <c r="C65" s="85" t="str" cm="1">
        <f t="array" ref="C65">IFERROR(INDEX('03.Muestra'!$F$8:$F$42,SMALL(IF("Página Web"='03.Muestra'!$D$8:$D$42,ROW('03.Muestra'!$F$8:$F$42)-MIN(ROW('03.Muestra'!$D$8:$D$42))+1,""),ROW()-56)),"")</f>
        <v>https://elecciones.comunidad.madrid/es/votar/donde-voto</v>
      </c>
      <c r="D65" s="99" t="s">
        <v>184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Voto presencial</v>
      </c>
      <c r="C66" s="85" t="str" cm="1">
        <f t="array" ref="C66">IFERROR(INDEX('03.Muestra'!$F$8:$F$42,SMALL(IF("Página Web"='03.Muestra'!$D$8:$D$42,ROW('03.Muestra'!$F$8:$F$42)-MIN(ROW('03.Muestra'!$D$8:$D$42))+1,""),ROW()-56)),"")</f>
        <v>https://elecciones.comunidad.madrid/es/voto-local-electoral/voto-presencial</v>
      </c>
      <c r="D66" s="99" t="s">
        <v>174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Ciudadanos temporalmente en el extranjero</v>
      </c>
      <c r="C67" s="85" t="str" cm="1">
        <f t="array" ref="C67">IFERROR(INDEX('03.Muestra'!$F$8:$F$42,SMALL(IF("Página Web"='03.Muestra'!$D$8:$D$42,ROW('03.Muestra'!$F$8:$F$42)-MIN(ROW('03.Muestra'!$D$8:$D$42))+1,""),ROW()-56)),"")</f>
        <v>https://elecciones.comunidad.madrid/es/voto-correo/solicitud-voto-temporalmente-ausentes</v>
      </c>
      <c r="D67" s="99" t="s">
        <v>174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Nuevo votante</v>
      </c>
      <c r="C68" s="85" t="str" cm="1">
        <f t="array" ref="C68">IFERROR(INDEX('03.Muestra'!$F$8:$F$42,SMALL(IF("Página Web"='03.Muestra'!$D$8:$D$42,ROW('03.Muestra'!$F$8:$F$42)-MIN(ROW('03.Muestra'!$D$8:$D$42))+1,""),ROW()-56)),"")</f>
        <v>https://elecciones.comunidad.madrid/es/votar/nuevo-votante</v>
      </c>
      <c r="D68" s="99" t="s">
        <v>174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Simulación método D'Hondt</v>
      </c>
      <c r="C69" s="85" t="str" cm="1">
        <f t="array" ref="C69">IFERROR(INDEX('03.Muestra'!$F$8:$F$42,SMALL(IF("Página Web"='03.Muestra'!$D$8:$D$42,ROW('03.Muestra'!$F$8:$F$42)-MIN(ROW('03.Muestra'!$D$8:$D$42))+1,""),ROW()-56)),"")</f>
        <v>https://elecciones.comunidad.madrid/es/informacion-util/simulacion-metodo-dhondt</v>
      </c>
      <c r="D69" s="99" t="s">
        <v>184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Ley D'Hondt</v>
      </c>
      <c r="C70" s="85" t="str" cm="1">
        <f t="array" ref="C70">IFERROR(INDEX('03.Muestra'!$F$8:$F$42,SMALL(IF("Página Web"='03.Muestra'!$D$8:$D$42,ROW('03.Muestra'!$F$8:$F$42)-MIN(ROW('03.Muestra'!$D$8:$D$42))+1,""),ROW()-56)),"")</f>
        <v>https://elecciones.comunidad.madrid/es/resultados/ley_d_hondt</v>
      </c>
      <c r="D70" s="99" t="s">
        <v>184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Voto por correo elector CERA en España</v>
      </c>
      <c r="C71" s="85" t="str" cm="1">
        <f t="array" ref="C71">IFERROR(INDEX('03.Muestra'!$F$8:$F$42,SMALL(IF("Página Web"='03.Muestra'!$D$8:$D$42,ROW('03.Muestra'!$F$8:$F$42)-MIN(ROW('03.Muestra'!$D$8:$D$42))+1,""),ROW()-56)),"")</f>
        <v>https://elecciones.comunidad.madrid/es/preguntas-frecuentes/voto-correo-electores-residentes-extranjero</v>
      </c>
      <c r="D71" s="99" t="s">
        <v>184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https://elecciones.comunidad.madrid/es/buzon-de-sugerencias</v>
      </c>
      <c r="D72" s="99" t="s">
        <v>184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https://elecciones.comunidad.madrid/es/search?search_api_fulltext=partido</v>
      </c>
      <c r="D73" s="99" t="s">
        <v>184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Legal-Privacidad</v>
      </c>
      <c r="C74" s="85" t="str" cm="1">
        <f t="array" ref="C74">IFERROR(INDEX('03.Muestra'!$F$8:$F$42,SMALL(IF("Página Web"='03.Muestra'!$D$8:$D$42,ROW('03.Muestra'!$F$8:$F$42)-MIN(ROW('03.Muestra'!$D$8:$D$42))+1,""),ROW()-56)),"")</f>
        <v>https://elecciones.comunidad.madrid/es/aviso-legal</v>
      </c>
      <c r="D74" s="99" t="s">
        <v>184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https://elecciones.comunidad.madrid/es/sitemap</v>
      </c>
      <c r="D75" s="99" t="s">
        <v>184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Declaracion Accesibilidad</v>
      </c>
      <c r="C76" s="85" t="str" cm="1">
        <f t="array" ref="C76">IFERROR(INDEX('03.Muestra'!$F$8:$F$42,SMALL(IF("Página Web"='03.Muestra'!$D$8:$D$42,ROW('03.Muestra'!$F$8:$F$42)-MIN(ROW('03.Muestra'!$D$8:$D$42))+1,""),ROW()-56)),"")</f>
        <v>https://elecciones.comunidad.madrid/es/accesibilidad</v>
      </c>
      <c r="D76" s="99" t="s">
        <v>184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181</v>
      </c>
      <c r="B94" s="23" t="s">
        <v>173</v>
      </c>
      <c r="C94" s="24" t="s">
        <v>216</v>
      </c>
      <c r="D94" s="25" t="s">
        <v>183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https://elecciones.comunidad.madrid/es</v>
      </c>
      <c r="D95" s="99" t="s">
        <v>184</v>
      </c>
      <c r="E95" s="79" t="str">
        <f t="shared" ref="E95:E129" si="4">IF(D95&lt;&gt;"",IF(AND(B95&lt;&gt;"",C95&lt;&gt;""),"","ERR"),"")</f>
        <v/>
      </c>
      <c r="F95" s="86" t="s">
        <v>185</v>
      </c>
      <c r="G95" s="87" t="s">
        <v>186</v>
      </c>
      <c r="H95" s="88" t="s">
        <v>184</v>
      </c>
      <c r="I95" s="89" t="s">
        <v>176</v>
      </c>
      <c r="J95" s="90" t="s">
        <v>174</v>
      </c>
      <c r="K95" s="179" t="s">
        <v>180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Resultado Elecciones 28M 2023</v>
      </c>
      <c r="C96" s="85" t="str" cm="1">
        <f t="array" ref="C96">IFERROR(INDEX('03.Muestra'!$F$8:$F$42,SMALL(IF("Página Web"='03.Muestra'!$D$8:$D$42,ROW('03.Muestra'!$F$8:$F$42)-MIN(ROW('03.Muestra'!$D$8:$D$42))+1,""),ROW()-94)),"")</f>
        <v>https://elecciones.comunidad.madrid/es/resultados-elecciones-asamblea-madrid-28m-2023</v>
      </c>
      <c r="D96" s="99" t="s">
        <v>184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Normativa electoral</v>
      </c>
      <c r="C97" s="85" t="str" cm="1">
        <f t="array" ref="C97">IFERROR(INDEX('03.Muestra'!$F$8:$F$42,SMALL(IF("Página Web"='03.Muestra'!$D$8:$D$42,ROW('03.Muestra'!$F$8:$F$42)-MIN(ROW('03.Muestra'!$D$8:$D$42))+1,""),ROW()-94)),"")</f>
        <v>https://elecciones.comunidad.madrid/es/informacion-electoral/normativa-electoral</v>
      </c>
      <c r="D97" s="99" t="s">
        <v>184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 electoral</v>
      </c>
      <c r="C98" s="85" t="str" cm="1">
        <f t="array" ref="C98">IFERROR(INDEX('03.Muestra'!$F$8:$F$42,SMALL(IF("Página Web"='03.Muestra'!$D$8:$D$42,ROW('03.Muestra'!$F$8:$F$42)-MIN(ROW('03.Muestra'!$D$8:$D$42))+1,""),ROW()-94)),"")</f>
        <v>https://elecciones.comunidad.madrid/es/informacion-electoral/calendario-electoral</v>
      </c>
      <c r="D98" s="99" t="s">
        <v>184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Direcciones y teléfonos</v>
      </c>
      <c r="C99" s="85" t="str" cm="1">
        <f t="array" ref="C99">IFERROR(INDEX('03.Muestra'!$F$8:$F$42,SMALL(IF("Página Web"='03.Muestra'!$D$8:$D$42,ROW('03.Muestra'!$F$8:$F$42)-MIN(ROW('03.Muestra'!$D$8:$D$42))+1,""),ROW()-94)),"")</f>
        <v>https://elecciones.comunidad.madrid/es/juntas-electorales/direcciones-telefonos</v>
      </c>
      <c r="D99" s="99" t="s">
        <v>184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Impresos electrónicos</v>
      </c>
      <c r="C100" s="85" t="str" cm="1">
        <f t="array" ref="C100">IFERROR(INDEX('03.Muestra'!$F$8:$F$42,SMALL(IF("Página Web"='03.Muestra'!$D$8:$D$42,ROW('03.Muestra'!$F$8:$F$42)-MIN(ROW('03.Muestra'!$D$8:$D$42))+1,""),ROW()-94)),"")</f>
        <v>https://elecciones.comunidad.madrid/es/formaciones-politicas/impresos-electronicos</v>
      </c>
      <c r="D100" s="99" t="s">
        <v>184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Listado de candidaturas</v>
      </c>
      <c r="C101" s="85" t="str" cm="1">
        <f t="array" ref="C101">IFERROR(INDEX('03.Muestra'!$F$8:$F$42,SMALL(IF("Página Web"='03.Muestra'!$D$8:$D$42,ROW('03.Muestra'!$F$8:$F$42)-MIN(ROW('03.Muestra'!$D$8:$D$42))+1,""),ROW()-94)),"")</f>
        <v>https://elecciones.comunidad.madrid/es/formaciones-politicas/listado-candidaturas-proclamadas</v>
      </c>
      <c r="D101" s="99" t="s">
        <v>184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Partido Feminista de España</v>
      </c>
      <c r="C102" s="85" t="str" cm="1">
        <f t="array" ref="C102">IFERROR(INDEX('03.Muestra'!$F$8:$F$42,SMALL(IF("Página Web"='03.Muestra'!$D$8:$D$42,ROW('03.Muestra'!$F$8:$F$42)-MIN(ROW('03.Muestra'!$D$8:$D$42))+1,""),ROW()-94)),"")</f>
        <v>https://elecciones.comunidad.madrid/es/formaciones-politicas/listado-candidaturas/partido-feminista-espana</v>
      </c>
      <c r="D102" s="99" t="s">
        <v>184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¿Dónde voto?</v>
      </c>
      <c r="C103" s="85" t="str" cm="1">
        <f t="array" ref="C103">IFERROR(INDEX('03.Muestra'!$F$8:$F$42,SMALL(IF("Página Web"='03.Muestra'!$D$8:$D$42,ROW('03.Muestra'!$F$8:$F$42)-MIN(ROW('03.Muestra'!$D$8:$D$42))+1,""),ROW()-94)),"")</f>
        <v>https://elecciones.comunidad.madrid/es/votar/donde-voto</v>
      </c>
      <c r="D103" s="99" t="s">
        <v>184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Voto presencial</v>
      </c>
      <c r="C104" s="85" t="str" cm="1">
        <f t="array" ref="C104">IFERROR(INDEX('03.Muestra'!$F$8:$F$42,SMALL(IF("Página Web"='03.Muestra'!$D$8:$D$42,ROW('03.Muestra'!$F$8:$F$42)-MIN(ROW('03.Muestra'!$D$8:$D$42))+1,""),ROW()-94)),"")</f>
        <v>https://elecciones.comunidad.madrid/es/voto-local-electoral/voto-presencial</v>
      </c>
      <c r="D104" s="99" t="s">
        <v>184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Ciudadanos temporalmente en el extranjero</v>
      </c>
      <c r="C105" s="85" t="str" cm="1">
        <f t="array" ref="C105">IFERROR(INDEX('03.Muestra'!$F$8:$F$42,SMALL(IF("Página Web"='03.Muestra'!$D$8:$D$42,ROW('03.Muestra'!$F$8:$F$42)-MIN(ROW('03.Muestra'!$D$8:$D$42))+1,""),ROW()-94)),"")</f>
        <v>https://elecciones.comunidad.madrid/es/voto-correo/solicitud-voto-temporalmente-ausentes</v>
      </c>
      <c r="D105" s="99" t="s">
        <v>184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Nuevo votante</v>
      </c>
      <c r="C106" s="85" t="str" cm="1">
        <f t="array" ref="C106">IFERROR(INDEX('03.Muestra'!$F$8:$F$42,SMALL(IF("Página Web"='03.Muestra'!$D$8:$D$42,ROW('03.Muestra'!$F$8:$F$42)-MIN(ROW('03.Muestra'!$D$8:$D$42))+1,""),ROW()-94)),"")</f>
        <v>https://elecciones.comunidad.madrid/es/votar/nuevo-votante</v>
      </c>
      <c r="D106" s="99" t="s">
        <v>184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Simulación método D'Hondt</v>
      </c>
      <c r="C107" s="85" t="str" cm="1">
        <f t="array" ref="C107">IFERROR(INDEX('03.Muestra'!$F$8:$F$42,SMALL(IF("Página Web"='03.Muestra'!$D$8:$D$42,ROW('03.Muestra'!$F$8:$F$42)-MIN(ROW('03.Muestra'!$D$8:$D$42))+1,""),ROW()-94)),"")</f>
        <v>https://elecciones.comunidad.madrid/es/informacion-util/simulacion-metodo-dhondt</v>
      </c>
      <c r="D107" s="99" t="s">
        <v>184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Ley D'Hondt</v>
      </c>
      <c r="C108" s="85" t="str" cm="1">
        <f t="array" ref="C108">IFERROR(INDEX('03.Muestra'!$F$8:$F$42,SMALL(IF("Página Web"='03.Muestra'!$D$8:$D$42,ROW('03.Muestra'!$F$8:$F$42)-MIN(ROW('03.Muestra'!$D$8:$D$42))+1,""),ROW()-94)),"")</f>
        <v>https://elecciones.comunidad.madrid/es/resultados/ley_d_hondt</v>
      </c>
      <c r="D108" s="99" t="s">
        <v>184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Voto por correo elector CERA en España</v>
      </c>
      <c r="C109" s="85" t="str" cm="1">
        <f t="array" ref="C109">IFERROR(INDEX('03.Muestra'!$F$8:$F$42,SMALL(IF("Página Web"='03.Muestra'!$D$8:$D$42,ROW('03.Muestra'!$F$8:$F$42)-MIN(ROW('03.Muestra'!$D$8:$D$42))+1,""),ROW()-94)),"")</f>
        <v>https://elecciones.comunidad.madrid/es/preguntas-frecuentes/voto-correo-electores-residentes-extranjero</v>
      </c>
      <c r="D109" s="99" t="s">
        <v>184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https://elecciones.comunidad.madrid/es/buzon-de-sugerencias</v>
      </c>
      <c r="D110" s="99" t="s">
        <v>184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https://elecciones.comunidad.madrid/es/search?search_api_fulltext=partido</v>
      </c>
      <c r="D111" s="99" t="s">
        <v>184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Legal-Privacidad</v>
      </c>
      <c r="C112" s="85" t="str" cm="1">
        <f t="array" ref="C112">IFERROR(INDEX('03.Muestra'!$F$8:$F$42,SMALL(IF("Página Web"='03.Muestra'!$D$8:$D$42,ROW('03.Muestra'!$F$8:$F$42)-MIN(ROW('03.Muestra'!$D$8:$D$42))+1,""),ROW()-94)),"")</f>
        <v>https://elecciones.comunidad.madrid/es/aviso-legal</v>
      </c>
      <c r="D112" s="99" t="s">
        <v>184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https://elecciones.comunidad.madrid/es/sitemap</v>
      </c>
      <c r="D113" s="99" t="s">
        <v>184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Declaracion Accesibilidad</v>
      </c>
      <c r="C114" s="85" t="str" cm="1">
        <f t="array" ref="C114">IFERROR(INDEX('03.Muestra'!$F$8:$F$42,SMALL(IF("Página Web"='03.Muestra'!$D$8:$D$42,ROW('03.Muestra'!$F$8:$F$42)-MIN(ROW('03.Muestra'!$D$8:$D$42))+1,""),ROW()-94)),"")</f>
        <v>https://elecciones.comunidad.madrid/es/accesibilidad</v>
      </c>
      <c r="D114" s="99" t="s">
        <v>184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181</v>
      </c>
      <c r="B132" s="23" t="s">
        <v>173</v>
      </c>
      <c r="C132" s="172" t="s">
        <v>217</v>
      </c>
      <c r="D132" s="25" t="s">
        <v>183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https://elecciones.comunidad.madrid/es</v>
      </c>
      <c r="D133" s="99" t="s">
        <v>184</v>
      </c>
      <c r="E133" s="79" t="str">
        <f t="shared" ref="E133:E167" si="6">IF(D133&lt;&gt;"",IF(AND(B133&lt;&gt;"",C133&lt;&gt;""),"","ERR"),"")</f>
        <v/>
      </c>
      <c r="F133" s="86" t="s">
        <v>185</v>
      </c>
      <c r="G133" s="87" t="s">
        <v>186</v>
      </c>
      <c r="H133" s="88" t="s">
        <v>184</v>
      </c>
      <c r="I133" s="89" t="s">
        <v>176</v>
      </c>
      <c r="J133" s="90" t="s">
        <v>174</v>
      </c>
      <c r="K133" s="179" t="s">
        <v>180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Resultado Elecciones 28M 2023</v>
      </c>
      <c r="C134" s="85" t="str" cm="1">
        <f t="array" ref="C134">IFERROR(INDEX('03.Muestra'!$F$8:$F$42,SMALL(IF("Página Web"='03.Muestra'!$D$8:$D$42,ROW('03.Muestra'!$F$8:$F$42)-MIN(ROW('03.Muestra'!$D$8:$D$42))+1,""),ROW()-132)),"")</f>
        <v>https://elecciones.comunidad.madrid/es/resultados-elecciones-asamblea-madrid-28m-2023</v>
      </c>
      <c r="D134" s="99" t="s">
        <v>184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Normativa electoral</v>
      </c>
      <c r="C135" s="85" t="str" cm="1">
        <f t="array" ref="C135">IFERROR(INDEX('03.Muestra'!$F$8:$F$42,SMALL(IF("Página Web"='03.Muestra'!$D$8:$D$42,ROW('03.Muestra'!$F$8:$F$42)-MIN(ROW('03.Muestra'!$D$8:$D$42))+1,""),ROW()-132)),"")</f>
        <v>https://elecciones.comunidad.madrid/es/informacion-electoral/normativa-electoral</v>
      </c>
      <c r="D135" s="99" t="s">
        <v>184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 electoral</v>
      </c>
      <c r="C136" s="85" t="str" cm="1">
        <f t="array" ref="C136">IFERROR(INDEX('03.Muestra'!$F$8:$F$42,SMALL(IF("Página Web"='03.Muestra'!$D$8:$D$42,ROW('03.Muestra'!$F$8:$F$42)-MIN(ROW('03.Muestra'!$D$8:$D$42))+1,""),ROW()-132)),"")</f>
        <v>https://elecciones.comunidad.madrid/es/informacion-electoral/calendario-electoral</v>
      </c>
      <c r="D136" s="99" t="s">
        <v>184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Direcciones y teléfonos</v>
      </c>
      <c r="C137" s="85" t="str" cm="1">
        <f t="array" ref="C137">IFERROR(INDEX('03.Muestra'!$F$8:$F$42,SMALL(IF("Página Web"='03.Muestra'!$D$8:$D$42,ROW('03.Muestra'!$F$8:$F$42)-MIN(ROW('03.Muestra'!$D$8:$D$42))+1,""),ROW()-132)),"")</f>
        <v>https://elecciones.comunidad.madrid/es/juntas-electorales/direcciones-telefonos</v>
      </c>
      <c r="D137" s="99" t="s">
        <v>184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Impresos electrónicos</v>
      </c>
      <c r="C138" s="85" t="str" cm="1">
        <f t="array" ref="C138">IFERROR(INDEX('03.Muestra'!$F$8:$F$42,SMALL(IF("Página Web"='03.Muestra'!$D$8:$D$42,ROW('03.Muestra'!$F$8:$F$42)-MIN(ROW('03.Muestra'!$D$8:$D$42))+1,""),ROW()-132)),"")</f>
        <v>https://elecciones.comunidad.madrid/es/formaciones-politicas/impresos-electronicos</v>
      </c>
      <c r="D138" s="99" t="s">
        <v>184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Listado de candidaturas</v>
      </c>
      <c r="C139" s="85" t="str" cm="1">
        <f t="array" ref="C139">IFERROR(INDEX('03.Muestra'!$F$8:$F$42,SMALL(IF("Página Web"='03.Muestra'!$D$8:$D$42,ROW('03.Muestra'!$F$8:$F$42)-MIN(ROW('03.Muestra'!$D$8:$D$42))+1,""),ROW()-132)),"")</f>
        <v>https://elecciones.comunidad.madrid/es/formaciones-politicas/listado-candidaturas-proclamadas</v>
      </c>
      <c r="D139" s="99" t="s">
        <v>184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Partido Feminista de España</v>
      </c>
      <c r="C140" s="85" t="str" cm="1">
        <f t="array" ref="C140">IFERROR(INDEX('03.Muestra'!$F$8:$F$42,SMALL(IF("Página Web"='03.Muestra'!$D$8:$D$42,ROW('03.Muestra'!$F$8:$F$42)-MIN(ROW('03.Muestra'!$D$8:$D$42))+1,""),ROW()-132)),"")</f>
        <v>https://elecciones.comunidad.madrid/es/formaciones-politicas/listado-candidaturas/partido-feminista-espana</v>
      </c>
      <c r="D140" s="99" t="s">
        <v>184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¿Dónde voto?</v>
      </c>
      <c r="C141" s="85" t="str" cm="1">
        <f t="array" ref="C141">IFERROR(INDEX('03.Muestra'!$F$8:$F$42,SMALL(IF("Página Web"='03.Muestra'!$D$8:$D$42,ROW('03.Muestra'!$F$8:$F$42)-MIN(ROW('03.Muestra'!$D$8:$D$42))+1,""),ROW()-132)),"")</f>
        <v>https://elecciones.comunidad.madrid/es/votar/donde-voto</v>
      </c>
      <c r="D141" s="99" t="s">
        <v>184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Voto presencial</v>
      </c>
      <c r="C142" s="85" t="str" cm="1">
        <f t="array" ref="C142">IFERROR(INDEX('03.Muestra'!$F$8:$F$42,SMALL(IF("Página Web"='03.Muestra'!$D$8:$D$42,ROW('03.Muestra'!$F$8:$F$42)-MIN(ROW('03.Muestra'!$D$8:$D$42))+1,""),ROW()-132)),"")</f>
        <v>https://elecciones.comunidad.madrid/es/voto-local-electoral/voto-presencial</v>
      </c>
      <c r="D142" s="99" t="s">
        <v>184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Ciudadanos temporalmente en el extranjero</v>
      </c>
      <c r="C143" s="85" t="str" cm="1">
        <f t="array" ref="C143">IFERROR(INDEX('03.Muestra'!$F$8:$F$42,SMALL(IF("Página Web"='03.Muestra'!$D$8:$D$42,ROW('03.Muestra'!$F$8:$F$42)-MIN(ROW('03.Muestra'!$D$8:$D$42))+1,""),ROW()-132)),"")</f>
        <v>https://elecciones.comunidad.madrid/es/voto-correo/solicitud-voto-temporalmente-ausentes</v>
      </c>
      <c r="D143" s="99" t="s">
        <v>184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Nuevo votante</v>
      </c>
      <c r="C144" s="85" t="str" cm="1">
        <f t="array" ref="C144">IFERROR(INDEX('03.Muestra'!$F$8:$F$42,SMALL(IF("Página Web"='03.Muestra'!$D$8:$D$42,ROW('03.Muestra'!$F$8:$F$42)-MIN(ROW('03.Muestra'!$D$8:$D$42))+1,""),ROW()-132)),"")</f>
        <v>https://elecciones.comunidad.madrid/es/votar/nuevo-votante</v>
      </c>
      <c r="D144" s="99" t="s">
        <v>184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Simulación método D'Hondt</v>
      </c>
      <c r="C145" s="85" t="str" cm="1">
        <f t="array" ref="C145">IFERROR(INDEX('03.Muestra'!$F$8:$F$42,SMALL(IF("Página Web"='03.Muestra'!$D$8:$D$42,ROW('03.Muestra'!$F$8:$F$42)-MIN(ROW('03.Muestra'!$D$8:$D$42))+1,""),ROW()-132)),"")</f>
        <v>https://elecciones.comunidad.madrid/es/informacion-util/simulacion-metodo-dhondt</v>
      </c>
      <c r="D145" s="99" t="s">
        <v>184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Ley D'Hondt</v>
      </c>
      <c r="C146" s="85" t="str" cm="1">
        <f t="array" ref="C146">IFERROR(INDEX('03.Muestra'!$F$8:$F$42,SMALL(IF("Página Web"='03.Muestra'!$D$8:$D$42,ROW('03.Muestra'!$F$8:$F$42)-MIN(ROW('03.Muestra'!$D$8:$D$42))+1,""),ROW()-132)),"")</f>
        <v>https://elecciones.comunidad.madrid/es/resultados/ley_d_hondt</v>
      </c>
      <c r="D146" s="99" t="s">
        <v>184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Voto por correo elector CERA en España</v>
      </c>
      <c r="C147" s="85" t="str" cm="1">
        <f t="array" ref="C147">IFERROR(INDEX('03.Muestra'!$F$8:$F$42,SMALL(IF("Página Web"='03.Muestra'!$D$8:$D$42,ROW('03.Muestra'!$F$8:$F$42)-MIN(ROW('03.Muestra'!$D$8:$D$42))+1,""),ROW()-132)),"")</f>
        <v>https://elecciones.comunidad.madrid/es/preguntas-frecuentes/voto-correo-electores-residentes-extranjero</v>
      </c>
      <c r="D147" s="99" t="s">
        <v>184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https://elecciones.comunidad.madrid/es/buzon-de-sugerencias</v>
      </c>
      <c r="D148" s="99" t="s">
        <v>184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https://elecciones.comunidad.madrid/es/search?search_api_fulltext=partido</v>
      </c>
      <c r="D149" s="99" t="s">
        <v>184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Legal-Privacidad</v>
      </c>
      <c r="C150" s="85" t="str" cm="1">
        <f t="array" ref="C150">IFERROR(INDEX('03.Muestra'!$F$8:$F$42,SMALL(IF("Página Web"='03.Muestra'!$D$8:$D$42,ROW('03.Muestra'!$F$8:$F$42)-MIN(ROW('03.Muestra'!$D$8:$D$42))+1,""),ROW()-132)),"")</f>
        <v>https://elecciones.comunidad.madrid/es/aviso-legal</v>
      </c>
      <c r="D150" s="99" t="s">
        <v>184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https://elecciones.comunidad.madrid/es/sitemap</v>
      </c>
      <c r="D151" s="99" t="s">
        <v>184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Declaracion Accesibilidad</v>
      </c>
      <c r="C152" s="85" t="str" cm="1">
        <f t="array" ref="C152">IFERROR(INDEX('03.Muestra'!$F$8:$F$42,SMALL(IF("Página Web"='03.Muestra'!$D$8:$D$42,ROW('03.Muestra'!$F$8:$F$42)-MIN(ROW('03.Muestra'!$D$8:$D$42))+1,""),ROW()-132)),"")</f>
        <v>https://elecciones.comunidad.madrid/es/accesibilidad</v>
      </c>
      <c r="D152" s="99" t="s">
        <v>184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181</v>
      </c>
      <c r="B170" s="23" t="s">
        <v>173</v>
      </c>
      <c r="C170" s="172" t="s">
        <v>218</v>
      </c>
      <c r="D170" s="25" t="s">
        <v>183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https://elecciones.comunidad.madrid/es</v>
      </c>
      <c r="D171" s="99" t="s">
        <v>184</v>
      </c>
      <c r="E171" s="79" t="str">
        <f t="shared" ref="E171:E205" si="8">IF(D171&lt;&gt;"",IF(AND(B171&lt;&gt;"",C171&lt;&gt;""),"","ERR"),"")</f>
        <v/>
      </c>
      <c r="F171" s="86" t="s">
        <v>185</v>
      </c>
      <c r="G171" s="87" t="s">
        <v>186</v>
      </c>
      <c r="H171" s="88" t="s">
        <v>184</v>
      </c>
      <c r="I171" s="89" t="s">
        <v>176</v>
      </c>
      <c r="J171" s="90" t="s">
        <v>174</v>
      </c>
      <c r="K171" s="179" t="s">
        <v>180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Resultado Elecciones 28M 2023</v>
      </c>
      <c r="C172" s="85" t="str" cm="1">
        <f t="array" ref="C172">IFERROR(INDEX('03.Muestra'!$F$8:$F$42,SMALL(IF("Página Web"='03.Muestra'!$D$8:$D$42,ROW('03.Muestra'!$F$8:$F$42)-MIN(ROW('03.Muestra'!$D$8:$D$42))+1,""),ROW()-170)),"")</f>
        <v>https://elecciones.comunidad.madrid/es/resultados-elecciones-asamblea-madrid-28m-2023</v>
      </c>
      <c r="D172" s="99" t="s">
        <v>184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Normativa electoral</v>
      </c>
      <c r="C173" s="85" t="str" cm="1">
        <f t="array" ref="C173">IFERROR(INDEX('03.Muestra'!$F$8:$F$42,SMALL(IF("Página Web"='03.Muestra'!$D$8:$D$42,ROW('03.Muestra'!$F$8:$F$42)-MIN(ROW('03.Muestra'!$D$8:$D$42))+1,""),ROW()-170)),"")</f>
        <v>https://elecciones.comunidad.madrid/es/informacion-electoral/normativa-electoral</v>
      </c>
      <c r="D173" s="99" t="s">
        <v>184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 electoral</v>
      </c>
      <c r="C174" s="85" t="str" cm="1">
        <f t="array" ref="C174">IFERROR(INDEX('03.Muestra'!$F$8:$F$42,SMALL(IF("Página Web"='03.Muestra'!$D$8:$D$42,ROW('03.Muestra'!$F$8:$F$42)-MIN(ROW('03.Muestra'!$D$8:$D$42))+1,""),ROW()-170)),"")</f>
        <v>https://elecciones.comunidad.madrid/es/informacion-electoral/calendario-electoral</v>
      </c>
      <c r="D174" s="99" t="s">
        <v>184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Direcciones y teléfonos</v>
      </c>
      <c r="C175" s="85" t="str" cm="1">
        <f t="array" ref="C175">IFERROR(INDEX('03.Muestra'!$F$8:$F$42,SMALL(IF("Página Web"='03.Muestra'!$D$8:$D$42,ROW('03.Muestra'!$F$8:$F$42)-MIN(ROW('03.Muestra'!$D$8:$D$42))+1,""),ROW()-170)),"")</f>
        <v>https://elecciones.comunidad.madrid/es/juntas-electorales/direcciones-telefonos</v>
      </c>
      <c r="D175" s="99" t="s">
        <v>184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Impresos electrónicos</v>
      </c>
      <c r="C176" s="85" t="str" cm="1">
        <f t="array" ref="C176">IFERROR(INDEX('03.Muestra'!$F$8:$F$42,SMALL(IF("Página Web"='03.Muestra'!$D$8:$D$42,ROW('03.Muestra'!$F$8:$F$42)-MIN(ROW('03.Muestra'!$D$8:$D$42))+1,""),ROW()-170)),"")</f>
        <v>https://elecciones.comunidad.madrid/es/formaciones-politicas/impresos-electronicos</v>
      </c>
      <c r="D176" s="99" t="s">
        <v>184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Listado de candidaturas</v>
      </c>
      <c r="C177" s="85" t="str" cm="1">
        <f t="array" ref="C177">IFERROR(INDEX('03.Muestra'!$F$8:$F$42,SMALL(IF("Página Web"='03.Muestra'!$D$8:$D$42,ROW('03.Muestra'!$F$8:$F$42)-MIN(ROW('03.Muestra'!$D$8:$D$42))+1,""),ROW()-170)),"")</f>
        <v>https://elecciones.comunidad.madrid/es/formaciones-politicas/listado-candidaturas-proclamadas</v>
      </c>
      <c r="D177" s="99" t="s">
        <v>184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Partido Feminista de España</v>
      </c>
      <c r="C178" s="85" t="str" cm="1">
        <f t="array" ref="C178">IFERROR(INDEX('03.Muestra'!$F$8:$F$42,SMALL(IF("Página Web"='03.Muestra'!$D$8:$D$42,ROW('03.Muestra'!$F$8:$F$42)-MIN(ROW('03.Muestra'!$D$8:$D$42))+1,""),ROW()-170)),"")</f>
        <v>https://elecciones.comunidad.madrid/es/formaciones-politicas/listado-candidaturas/partido-feminista-espana</v>
      </c>
      <c r="D178" s="99" t="s">
        <v>184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¿Dónde voto?</v>
      </c>
      <c r="C179" s="85" t="str" cm="1">
        <f t="array" ref="C179">IFERROR(INDEX('03.Muestra'!$F$8:$F$42,SMALL(IF("Página Web"='03.Muestra'!$D$8:$D$42,ROW('03.Muestra'!$F$8:$F$42)-MIN(ROW('03.Muestra'!$D$8:$D$42))+1,""),ROW()-170)),"")</f>
        <v>https://elecciones.comunidad.madrid/es/votar/donde-voto</v>
      </c>
      <c r="D179" s="99" t="s">
        <v>184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Voto presencial</v>
      </c>
      <c r="C180" s="85" t="str" cm="1">
        <f t="array" ref="C180">IFERROR(INDEX('03.Muestra'!$F$8:$F$42,SMALL(IF("Página Web"='03.Muestra'!$D$8:$D$42,ROW('03.Muestra'!$F$8:$F$42)-MIN(ROW('03.Muestra'!$D$8:$D$42))+1,""),ROW()-170)),"")</f>
        <v>https://elecciones.comunidad.madrid/es/voto-local-electoral/voto-presencial</v>
      </c>
      <c r="D180" s="99" t="s">
        <v>184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Ciudadanos temporalmente en el extranjero</v>
      </c>
      <c r="C181" s="85" t="str" cm="1">
        <f t="array" ref="C181">IFERROR(INDEX('03.Muestra'!$F$8:$F$42,SMALL(IF("Página Web"='03.Muestra'!$D$8:$D$42,ROW('03.Muestra'!$F$8:$F$42)-MIN(ROW('03.Muestra'!$D$8:$D$42))+1,""),ROW()-170)),"")</f>
        <v>https://elecciones.comunidad.madrid/es/voto-correo/solicitud-voto-temporalmente-ausentes</v>
      </c>
      <c r="D181" s="99" t="s">
        <v>184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Nuevo votante</v>
      </c>
      <c r="C182" s="85" t="str" cm="1">
        <f t="array" ref="C182">IFERROR(INDEX('03.Muestra'!$F$8:$F$42,SMALL(IF("Página Web"='03.Muestra'!$D$8:$D$42,ROW('03.Muestra'!$F$8:$F$42)-MIN(ROW('03.Muestra'!$D$8:$D$42))+1,""),ROW()-170)),"")</f>
        <v>https://elecciones.comunidad.madrid/es/votar/nuevo-votante</v>
      </c>
      <c r="D182" s="99" t="s">
        <v>184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Simulación método D'Hondt</v>
      </c>
      <c r="C183" s="85" t="str" cm="1">
        <f t="array" ref="C183">IFERROR(INDEX('03.Muestra'!$F$8:$F$42,SMALL(IF("Página Web"='03.Muestra'!$D$8:$D$42,ROW('03.Muestra'!$F$8:$F$42)-MIN(ROW('03.Muestra'!$D$8:$D$42))+1,""),ROW()-170)),"")</f>
        <v>https://elecciones.comunidad.madrid/es/informacion-util/simulacion-metodo-dhondt</v>
      </c>
      <c r="D183" s="99" t="s">
        <v>184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Ley D'Hondt</v>
      </c>
      <c r="C184" s="85" t="str" cm="1">
        <f t="array" ref="C184">IFERROR(INDEX('03.Muestra'!$F$8:$F$42,SMALL(IF("Página Web"='03.Muestra'!$D$8:$D$42,ROW('03.Muestra'!$F$8:$F$42)-MIN(ROW('03.Muestra'!$D$8:$D$42))+1,""),ROW()-170)),"")</f>
        <v>https://elecciones.comunidad.madrid/es/resultados/ley_d_hondt</v>
      </c>
      <c r="D184" s="99" t="s">
        <v>184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Voto por correo elector CERA en España</v>
      </c>
      <c r="C185" s="85" t="str" cm="1">
        <f t="array" ref="C185">IFERROR(INDEX('03.Muestra'!$F$8:$F$42,SMALL(IF("Página Web"='03.Muestra'!$D$8:$D$42,ROW('03.Muestra'!$F$8:$F$42)-MIN(ROW('03.Muestra'!$D$8:$D$42))+1,""),ROW()-170)),"")</f>
        <v>https://elecciones.comunidad.madrid/es/preguntas-frecuentes/voto-correo-electores-residentes-extranjero</v>
      </c>
      <c r="D185" s="99" t="s">
        <v>184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https://elecciones.comunidad.madrid/es/buzon-de-sugerencias</v>
      </c>
      <c r="D186" s="99" t="s">
        <v>184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https://elecciones.comunidad.madrid/es/search?search_api_fulltext=partido</v>
      </c>
      <c r="D187" s="99" t="s">
        <v>184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Legal-Privacidad</v>
      </c>
      <c r="C188" s="85" t="str" cm="1">
        <f t="array" ref="C188">IFERROR(INDEX('03.Muestra'!$F$8:$F$42,SMALL(IF("Página Web"='03.Muestra'!$D$8:$D$42,ROW('03.Muestra'!$F$8:$F$42)-MIN(ROW('03.Muestra'!$D$8:$D$42))+1,""),ROW()-170)),"")</f>
        <v>https://elecciones.comunidad.madrid/es/aviso-legal</v>
      </c>
      <c r="D188" s="99" t="s">
        <v>184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https://elecciones.comunidad.madrid/es/sitemap</v>
      </c>
      <c r="D189" s="99" t="s">
        <v>184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Declaracion Accesibilidad</v>
      </c>
      <c r="C190" s="85" t="str" cm="1">
        <f t="array" ref="C190">IFERROR(INDEX('03.Muestra'!$F$8:$F$42,SMALL(IF("Página Web"='03.Muestra'!$D$8:$D$42,ROW('03.Muestra'!$F$8:$F$42)-MIN(ROW('03.Muestra'!$D$8:$D$42))+1,""),ROW()-170)),"")</f>
        <v>https://elecciones.comunidad.madrid/es/accesibilidad</v>
      </c>
      <c r="D190" s="99" t="s">
        <v>184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181</v>
      </c>
      <c r="B208" s="23" t="s">
        <v>173</v>
      </c>
      <c r="C208" s="24" t="s">
        <v>219</v>
      </c>
      <c r="D208" s="25" t="s">
        <v>183</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https://elecciones.comunidad.madrid/es</v>
      </c>
      <c r="D209" s="99" t="s">
        <v>176</v>
      </c>
      <c r="E209" s="79" t="str">
        <f t="shared" ref="E209:E243" si="10">IF(D209&lt;&gt;"",IF(AND(B209&lt;&gt;"",C209&lt;&gt;""),"","ERR"),"")</f>
        <v/>
      </c>
      <c r="F209" s="86" t="s">
        <v>185</v>
      </c>
      <c r="G209" s="87" t="s">
        <v>186</v>
      </c>
      <c r="H209" s="88" t="s">
        <v>184</v>
      </c>
      <c r="I209" s="89" t="s">
        <v>176</v>
      </c>
      <c r="J209" s="90" t="s">
        <v>174</v>
      </c>
      <c r="K209" s="179" t="s">
        <v>180</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Resultado Elecciones 28M 2023</v>
      </c>
      <c r="C210" s="85" t="str" cm="1">
        <f t="array" ref="C210">IFERROR(INDEX('03.Muestra'!$F$8:$F$42,SMALL(IF("Página Web"='03.Muestra'!$D$8:$D$42,ROW('03.Muestra'!$F$8:$F$42)-MIN(ROW('03.Muestra'!$D$8:$D$42))+1,""),ROW()-208)),"")</f>
        <v>https://elecciones.comunidad.madrid/es/resultados-elecciones-asamblea-madrid-28m-2023</v>
      </c>
      <c r="D210" s="99" t="s">
        <v>184</v>
      </c>
      <c r="E210" s="79" t="str">
        <f t="shared" si="10"/>
        <v/>
      </c>
      <c r="F210" s="91">
        <f ca="1">COUNTIF($D209:INDIRECT("$D" &amp;  SUM(ROW()-1,'03.Muestra'!$D$45)-1),F209)</f>
        <v>0</v>
      </c>
      <c r="G210" s="91">
        <f ca="1">COUNTIF($D209:INDIRECT("$D" &amp;  SUM(ROW()-1,'03.Muestra'!$D$45)-1),G209)</f>
        <v>0</v>
      </c>
      <c r="H210" s="91">
        <f ca="1">COUNTIF($D209:INDIRECT("$D" &amp;  SUM(ROW()-1,'03.Muestra'!$D$45)-1),H209)</f>
        <v>16</v>
      </c>
      <c r="I210" s="91">
        <f ca="1">COUNTIF($D209:INDIRECT("$D" &amp;  SUM(ROW()-1,'03.Muestra'!$D$45)-1),I209)</f>
        <v>4</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Normativa electoral</v>
      </c>
      <c r="C211" s="85" t="str" cm="1">
        <f t="array" ref="C211">IFERROR(INDEX('03.Muestra'!$F$8:$F$42,SMALL(IF("Página Web"='03.Muestra'!$D$8:$D$42,ROW('03.Muestra'!$F$8:$F$42)-MIN(ROW('03.Muestra'!$D$8:$D$42))+1,""),ROW()-208)),"")</f>
        <v>https://elecciones.comunidad.madrid/es/informacion-electoral/normativa-electoral</v>
      </c>
      <c r="D211" s="99" t="s">
        <v>184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Calendario electoral</v>
      </c>
      <c r="C212" s="85" t="str" cm="1">
        <f t="array" ref="C212">IFERROR(INDEX('03.Muestra'!$F$8:$F$42,SMALL(IF("Página Web"='03.Muestra'!$D$8:$D$42,ROW('03.Muestra'!$F$8:$F$42)-MIN(ROW('03.Muestra'!$D$8:$D$42))+1,""),ROW()-208)),"")</f>
        <v>https://elecciones.comunidad.madrid/es/informacion-electoral/calendario-electoral</v>
      </c>
      <c r="D212" s="99" t="s">
        <v>184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Direcciones y teléfonos</v>
      </c>
      <c r="C213" s="85" t="str" cm="1">
        <f t="array" ref="C213">IFERROR(INDEX('03.Muestra'!$F$8:$F$42,SMALL(IF("Página Web"='03.Muestra'!$D$8:$D$42,ROW('03.Muestra'!$F$8:$F$42)-MIN(ROW('03.Muestra'!$D$8:$D$42))+1,""),ROW()-208)),"")</f>
        <v>https://elecciones.comunidad.madrid/es/juntas-electorales/direcciones-telefonos</v>
      </c>
      <c r="D213" s="99" t="s">
        <v>184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Impresos electrónicos</v>
      </c>
      <c r="C214" s="85" t="str" cm="1">
        <f t="array" ref="C214">IFERROR(INDEX('03.Muestra'!$F$8:$F$42,SMALL(IF("Página Web"='03.Muestra'!$D$8:$D$42,ROW('03.Muestra'!$F$8:$F$42)-MIN(ROW('03.Muestra'!$D$8:$D$42))+1,""),ROW()-208)),"")</f>
        <v>https://elecciones.comunidad.madrid/es/formaciones-politicas/impresos-electronicos</v>
      </c>
      <c r="D214" s="99" t="s">
        <v>184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Listado de candidaturas</v>
      </c>
      <c r="C215" s="85" t="str" cm="1">
        <f t="array" ref="C215">IFERROR(INDEX('03.Muestra'!$F$8:$F$42,SMALL(IF("Página Web"='03.Muestra'!$D$8:$D$42,ROW('03.Muestra'!$F$8:$F$42)-MIN(ROW('03.Muestra'!$D$8:$D$42))+1,""),ROW()-208)),"")</f>
        <v>https://elecciones.comunidad.madrid/es/formaciones-politicas/listado-candidaturas-proclamadas</v>
      </c>
      <c r="D215" s="99" t="s">
        <v>184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Partido Feminista de España</v>
      </c>
      <c r="C216" s="85" t="str" cm="1">
        <f t="array" ref="C216">IFERROR(INDEX('03.Muestra'!$F$8:$F$42,SMALL(IF("Página Web"='03.Muestra'!$D$8:$D$42,ROW('03.Muestra'!$F$8:$F$42)-MIN(ROW('03.Muestra'!$D$8:$D$42))+1,""),ROW()-208)),"")</f>
        <v>https://elecciones.comunidad.madrid/es/formaciones-politicas/listado-candidaturas/partido-feminista-espana</v>
      </c>
      <c r="D216" s="99" t="s">
        <v>184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¿Dónde voto?</v>
      </c>
      <c r="C217" s="85" t="str" cm="1">
        <f t="array" ref="C217">IFERROR(INDEX('03.Muestra'!$F$8:$F$42,SMALL(IF("Página Web"='03.Muestra'!$D$8:$D$42,ROW('03.Muestra'!$F$8:$F$42)-MIN(ROW('03.Muestra'!$D$8:$D$42))+1,""),ROW()-208)),"")</f>
        <v>https://elecciones.comunidad.madrid/es/votar/donde-voto</v>
      </c>
      <c r="D217" s="99" t="s">
        <v>184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Voto presencial</v>
      </c>
      <c r="C218" s="85" t="str" cm="1">
        <f t="array" ref="C218">IFERROR(INDEX('03.Muestra'!$F$8:$F$42,SMALL(IF("Página Web"='03.Muestra'!$D$8:$D$42,ROW('03.Muestra'!$F$8:$F$42)-MIN(ROW('03.Muestra'!$D$8:$D$42))+1,""),ROW()-208)),"")</f>
        <v>https://elecciones.comunidad.madrid/es/voto-local-electoral/voto-presencial</v>
      </c>
      <c r="D218" s="99" t="s">
        <v>176</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Ciudadanos temporalmente en el extranjero</v>
      </c>
      <c r="C219" s="85" t="str" cm="1">
        <f t="array" ref="C219">IFERROR(INDEX('03.Muestra'!$F$8:$F$42,SMALL(IF("Página Web"='03.Muestra'!$D$8:$D$42,ROW('03.Muestra'!$F$8:$F$42)-MIN(ROW('03.Muestra'!$D$8:$D$42))+1,""),ROW()-208)),"")</f>
        <v>https://elecciones.comunidad.madrid/es/voto-correo/solicitud-voto-temporalmente-ausentes</v>
      </c>
      <c r="D219" s="99" t="s">
        <v>176</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Nuevo votante</v>
      </c>
      <c r="C220" s="85" t="str" cm="1">
        <f t="array" ref="C220">IFERROR(INDEX('03.Muestra'!$F$8:$F$42,SMALL(IF("Página Web"='03.Muestra'!$D$8:$D$42,ROW('03.Muestra'!$F$8:$F$42)-MIN(ROW('03.Muestra'!$D$8:$D$42))+1,""),ROW()-208)),"")</f>
        <v>https://elecciones.comunidad.madrid/es/votar/nuevo-votante</v>
      </c>
      <c r="D220" s="99" t="s">
        <v>176</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Simulación método D'Hondt</v>
      </c>
      <c r="C221" s="85" t="str" cm="1">
        <f t="array" ref="C221">IFERROR(INDEX('03.Muestra'!$F$8:$F$42,SMALL(IF("Página Web"='03.Muestra'!$D$8:$D$42,ROW('03.Muestra'!$F$8:$F$42)-MIN(ROW('03.Muestra'!$D$8:$D$42))+1,""),ROW()-208)),"")</f>
        <v>https://elecciones.comunidad.madrid/es/informacion-util/simulacion-metodo-dhondt</v>
      </c>
      <c r="D221" s="99" t="s">
        <v>184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Ley D'Hondt</v>
      </c>
      <c r="C222" s="85" t="str" cm="1">
        <f t="array" ref="C222">IFERROR(INDEX('03.Muestra'!$F$8:$F$42,SMALL(IF("Página Web"='03.Muestra'!$D$8:$D$42,ROW('03.Muestra'!$F$8:$F$42)-MIN(ROW('03.Muestra'!$D$8:$D$42))+1,""),ROW()-208)),"")</f>
        <v>https://elecciones.comunidad.madrid/es/resultados/ley_d_hondt</v>
      </c>
      <c r="D222" s="99" t="s">
        <v>184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Voto por correo elector CERA en España</v>
      </c>
      <c r="C223" s="85" t="str" cm="1">
        <f t="array" ref="C223">IFERROR(INDEX('03.Muestra'!$F$8:$F$42,SMALL(IF("Página Web"='03.Muestra'!$D$8:$D$42,ROW('03.Muestra'!$F$8:$F$42)-MIN(ROW('03.Muestra'!$D$8:$D$42))+1,""),ROW()-208)),"")</f>
        <v>https://elecciones.comunidad.madrid/es/preguntas-frecuentes/voto-correo-electores-residentes-extranjero</v>
      </c>
      <c r="D223" s="99" t="s">
        <v>184</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https://elecciones.comunidad.madrid/es/buzon-de-sugerencias</v>
      </c>
      <c r="D224" s="99" t="s">
        <v>184</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Buscador</v>
      </c>
      <c r="C225" s="85" t="str" cm="1">
        <f t="array" ref="C225">IFERROR(INDEX('03.Muestra'!$F$8:$F$42,SMALL(IF("Página Web"='03.Muestra'!$D$8:$D$42,ROW('03.Muestra'!$F$8:$F$42)-MIN(ROW('03.Muestra'!$D$8:$D$42))+1,""),ROW()-208)),"")</f>
        <v>https://elecciones.comunidad.madrid/es/search?search_api_fulltext=partido</v>
      </c>
      <c r="D225" s="99" t="s">
        <v>184</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Legal-Privacidad</v>
      </c>
      <c r="C226" s="85" t="str" cm="1">
        <f t="array" ref="C226">IFERROR(INDEX('03.Muestra'!$F$8:$F$42,SMALL(IF("Página Web"='03.Muestra'!$D$8:$D$42,ROW('03.Muestra'!$F$8:$F$42)-MIN(ROW('03.Muestra'!$D$8:$D$42))+1,""),ROW()-208)),"")</f>
        <v>https://elecciones.comunidad.madrid/es/aviso-legal</v>
      </c>
      <c r="D226" s="99" t="s">
        <v>184</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https://elecciones.comunidad.madrid/es/sitemap</v>
      </c>
      <c r="D227" s="99" t="s">
        <v>184</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Declaracion Accesibilidad</v>
      </c>
      <c r="C228" s="85" t="str" cm="1">
        <f t="array" ref="C228">IFERROR(INDEX('03.Muestra'!$F$8:$F$42,SMALL(IF("Página Web"='03.Muestra'!$D$8:$D$42,ROW('03.Muestra'!$F$8:$F$42)-MIN(ROW('03.Muestra'!$D$8:$D$42))+1,""),ROW()-208)),"")</f>
        <v>https://elecciones.comunidad.madrid/es/accesibilidad</v>
      </c>
      <c r="D228" s="99" t="s">
        <v>184</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181</v>
      </c>
      <c r="B246" s="23" t="s">
        <v>173</v>
      </c>
      <c r="C246" s="24" t="s">
        <v>220</v>
      </c>
      <c r="D246" s="25" t="s">
        <v>183</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https://elecciones.comunidad.madrid/es</v>
      </c>
      <c r="D247" s="99" t="s">
        <v>184</v>
      </c>
      <c r="E247" s="79" t="str">
        <f t="shared" ref="E247:E281" si="12">IF(D247&lt;&gt;"",IF(AND(B247&lt;&gt;"",C247&lt;&gt;""),"","ERR"),"")</f>
        <v/>
      </c>
      <c r="F247" s="86" t="s">
        <v>185</v>
      </c>
      <c r="G247" s="87" t="s">
        <v>186</v>
      </c>
      <c r="H247" s="88" t="s">
        <v>184</v>
      </c>
      <c r="I247" s="89" t="s">
        <v>176</v>
      </c>
      <c r="J247" s="90" t="s">
        <v>174</v>
      </c>
      <c r="K247" s="179" t="s">
        <v>180</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Resultado Elecciones 28M 2023</v>
      </c>
      <c r="C248" s="85" t="str" cm="1">
        <f t="array" ref="C248">IFERROR(INDEX('03.Muestra'!$F$8:$F$42,SMALL(IF("Página Web"='03.Muestra'!$D$8:$D$42,ROW('03.Muestra'!$F$8:$F$42)-MIN(ROW('03.Muestra'!$D$8:$D$42))+1,""),ROW()-246)),"")</f>
        <v>https://elecciones.comunidad.madrid/es/resultados-elecciones-asamblea-madrid-28m-2023</v>
      </c>
      <c r="D248" s="99" t="s">
        <v>184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Normativa electoral</v>
      </c>
      <c r="C249" s="85" t="str" cm="1">
        <f t="array" ref="C249">IFERROR(INDEX('03.Muestra'!$F$8:$F$42,SMALL(IF("Página Web"='03.Muestra'!$D$8:$D$42,ROW('03.Muestra'!$F$8:$F$42)-MIN(ROW('03.Muestra'!$D$8:$D$42))+1,""),ROW()-246)),"")</f>
        <v>https://elecciones.comunidad.madrid/es/informacion-electoral/normativa-electoral</v>
      </c>
      <c r="D249" s="99" t="s">
        <v>184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Calendario electoral</v>
      </c>
      <c r="C250" s="85" t="str" cm="1">
        <f t="array" ref="C250">IFERROR(INDEX('03.Muestra'!$F$8:$F$42,SMALL(IF("Página Web"='03.Muestra'!$D$8:$D$42,ROW('03.Muestra'!$F$8:$F$42)-MIN(ROW('03.Muestra'!$D$8:$D$42))+1,""),ROW()-246)),"")</f>
        <v>https://elecciones.comunidad.madrid/es/informacion-electoral/calendario-electoral</v>
      </c>
      <c r="D250" s="99" t="s">
        <v>184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Direcciones y teléfonos</v>
      </c>
      <c r="C251" s="85" t="str" cm="1">
        <f t="array" ref="C251">IFERROR(INDEX('03.Muestra'!$F$8:$F$42,SMALL(IF("Página Web"='03.Muestra'!$D$8:$D$42,ROW('03.Muestra'!$F$8:$F$42)-MIN(ROW('03.Muestra'!$D$8:$D$42))+1,""),ROW()-246)),"")</f>
        <v>https://elecciones.comunidad.madrid/es/juntas-electorales/direcciones-telefonos</v>
      </c>
      <c r="D251" s="99" t="s">
        <v>184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Impresos electrónicos</v>
      </c>
      <c r="C252" s="85" t="str" cm="1">
        <f t="array" ref="C252">IFERROR(INDEX('03.Muestra'!$F$8:$F$42,SMALL(IF("Página Web"='03.Muestra'!$D$8:$D$42,ROW('03.Muestra'!$F$8:$F$42)-MIN(ROW('03.Muestra'!$D$8:$D$42))+1,""),ROW()-246)),"")</f>
        <v>https://elecciones.comunidad.madrid/es/formaciones-politicas/impresos-electronicos</v>
      </c>
      <c r="D252" s="99" t="s">
        <v>184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Listado de candidaturas</v>
      </c>
      <c r="C253" s="85" t="str" cm="1">
        <f t="array" ref="C253">IFERROR(INDEX('03.Muestra'!$F$8:$F$42,SMALL(IF("Página Web"='03.Muestra'!$D$8:$D$42,ROW('03.Muestra'!$F$8:$F$42)-MIN(ROW('03.Muestra'!$D$8:$D$42))+1,""),ROW()-246)),"")</f>
        <v>https://elecciones.comunidad.madrid/es/formaciones-politicas/listado-candidaturas-proclamadas</v>
      </c>
      <c r="D253" s="99" t="s">
        <v>184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Partido Feminista de España</v>
      </c>
      <c r="C254" s="85" t="str" cm="1">
        <f t="array" ref="C254">IFERROR(INDEX('03.Muestra'!$F$8:$F$42,SMALL(IF("Página Web"='03.Muestra'!$D$8:$D$42,ROW('03.Muestra'!$F$8:$F$42)-MIN(ROW('03.Muestra'!$D$8:$D$42))+1,""),ROW()-246)),"")</f>
        <v>https://elecciones.comunidad.madrid/es/formaciones-politicas/listado-candidaturas/partido-feminista-espana</v>
      </c>
      <c r="D254" s="99" t="s">
        <v>184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¿Dónde voto?</v>
      </c>
      <c r="C255" s="85" t="str" cm="1">
        <f t="array" ref="C255">IFERROR(INDEX('03.Muestra'!$F$8:$F$42,SMALL(IF("Página Web"='03.Muestra'!$D$8:$D$42,ROW('03.Muestra'!$F$8:$F$42)-MIN(ROW('03.Muestra'!$D$8:$D$42))+1,""),ROW()-246)),"")</f>
        <v>https://elecciones.comunidad.madrid/es/votar/donde-voto</v>
      </c>
      <c r="D255" s="99" t="s">
        <v>184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Voto presencial</v>
      </c>
      <c r="C256" s="85" t="str" cm="1">
        <f t="array" ref="C256">IFERROR(INDEX('03.Muestra'!$F$8:$F$42,SMALL(IF("Página Web"='03.Muestra'!$D$8:$D$42,ROW('03.Muestra'!$F$8:$F$42)-MIN(ROW('03.Muestra'!$D$8:$D$42))+1,""),ROW()-246)),"")</f>
        <v>https://elecciones.comunidad.madrid/es/voto-local-electoral/voto-presencial</v>
      </c>
      <c r="D256" s="99" t="s">
        <v>184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Ciudadanos temporalmente en el extranjero</v>
      </c>
      <c r="C257" s="85" t="str" cm="1">
        <f t="array" ref="C257">IFERROR(INDEX('03.Muestra'!$F$8:$F$42,SMALL(IF("Página Web"='03.Muestra'!$D$8:$D$42,ROW('03.Muestra'!$F$8:$F$42)-MIN(ROW('03.Muestra'!$D$8:$D$42))+1,""),ROW()-246)),"")</f>
        <v>https://elecciones.comunidad.madrid/es/voto-correo/solicitud-voto-temporalmente-ausentes</v>
      </c>
      <c r="D257" s="99" t="s">
        <v>184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Nuevo votante</v>
      </c>
      <c r="C258" s="85" t="str" cm="1">
        <f t="array" ref="C258">IFERROR(INDEX('03.Muestra'!$F$8:$F$42,SMALL(IF("Página Web"='03.Muestra'!$D$8:$D$42,ROW('03.Muestra'!$F$8:$F$42)-MIN(ROW('03.Muestra'!$D$8:$D$42))+1,""),ROW()-246)),"")</f>
        <v>https://elecciones.comunidad.madrid/es/votar/nuevo-votante</v>
      </c>
      <c r="D258" s="99" t="s">
        <v>184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Simulación método D'Hondt</v>
      </c>
      <c r="C259" s="85" t="str" cm="1">
        <f t="array" ref="C259">IFERROR(INDEX('03.Muestra'!$F$8:$F$42,SMALL(IF("Página Web"='03.Muestra'!$D$8:$D$42,ROW('03.Muestra'!$F$8:$F$42)-MIN(ROW('03.Muestra'!$D$8:$D$42))+1,""),ROW()-246)),"")</f>
        <v>https://elecciones.comunidad.madrid/es/informacion-util/simulacion-metodo-dhondt</v>
      </c>
      <c r="D259" s="99" t="s">
        <v>184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Ley D'Hondt</v>
      </c>
      <c r="C260" s="85" t="str" cm="1">
        <f t="array" ref="C260">IFERROR(INDEX('03.Muestra'!$F$8:$F$42,SMALL(IF("Página Web"='03.Muestra'!$D$8:$D$42,ROW('03.Muestra'!$F$8:$F$42)-MIN(ROW('03.Muestra'!$D$8:$D$42))+1,""),ROW()-246)),"")</f>
        <v>https://elecciones.comunidad.madrid/es/resultados/ley_d_hondt</v>
      </c>
      <c r="D260" s="99" t="s">
        <v>184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Voto por correo elector CERA en España</v>
      </c>
      <c r="C261" s="85" t="str" cm="1">
        <f t="array" ref="C261">IFERROR(INDEX('03.Muestra'!$F$8:$F$42,SMALL(IF("Página Web"='03.Muestra'!$D$8:$D$42,ROW('03.Muestra'!$F$8:$F$42)-MIN(ROW('03.Muestra'!$D$8:$D$42))+1,""),ROW()-246)),"")</f>
        <v>https://elecciones.comunidad.madrid/es/preguntas-frecuentes/voto-correo-electores-residentes-extranjero</v>
      </c>
      <c r="D261" s="99" t="s">
        <v>184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https://elecciones.comunidad.madrid/es/buzon-de-sugerencias</v>
      </c>
      <c r="D262" s="99" t="s">
        <v>184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Buscador</v>
      </c>
      <c r="C263" s="85" t="str" cm="1">
        <f t="array" ref="C263">IFERROR(INDEX('03.Muestra'!$F$8:$F$42,SMALL(IF("Página Web"='03.Muestra'!$D$8:$D$42,ROW('03.Muestra'!$F$8:$F$42)-MIN(ROW('03.Muestra'!$D$8:$D$42))+1,""),ROW()-246)),"")</f>
        <v>https://elecciones.comunidad.madrid/es/search?search_api_fulltext=partido</v>
      </c>
      <c r="D263" s="99" t="s">
        <v>184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Legal-Privacidad</v>
      </c>
      <c r="C264" s="85" t="str" cm="1">
        <f t="array" ref="C264">IFERROR(INDEX('03.Muestra'!$F$8:$F$42,SMALL(IF("Página Web"='03.Muestra'!$D$8:$D$42,ROW('03.Muestra'!$F$8:$F$42)-MIN(ROW('03.Muestra'!$D$8:$D$42))+1,""),ROW()-246)),"")</f>
        <v>https://elecciones.comunidad.madrid/es/aviso-legal</v>
      </c>
      <c r="D264" s="99" t="s">
        <v>184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https://elecciones.comunidad.madrid/es/sitemap</v>
      </c>
      <c r="D265" s="99" t="s">
        <v>184</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Declaracion Accesibilidad</v>
      </c>
      <c r="C266" s="85" t="str" cm="1">
        <f t="array" ref="C266">IFERROR(INDEX('03.Muestra'!$F$8:$F$42,SMALL(IF("Página Web"='03.Muestra'!$D$8:$D$42,ROW('03.Muestra'!$F$8:$F$42)-MIN(ROW('03.Muestra'!$D$8:$D$42))+1,""),ROW()-246)),"")</f>
        <v>https://elecciones.comunidad.madrid/es/accesibilidad</v>
      </c>
      <c r="D266" s="99" t="s">
        <v>184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181</v>
      </c>
      <c r="B284" s="23" t="s">
        <v>173</v>
      </c>
      <c r="C284" s="24" t="s">
        <v>221</v>
      </c>
      <c r="D284" s="25" t="s">
        <v>183</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https://elecciones.comunidad.madrid/es</v>
      </c>
      <c r="D285" s="99" t="s">
        <v>184</v>
      </c>
      <c r="E285" s="79" t="str">
        <f t="shared" ref="E285:E319" si="14">IF(D285&lt;&gt;"",IF(AND(B285&lt;&gt;"",C285&lt;&gt;""),"","ERR"),"")</f>
        <v/>
      </c>
      <c r="F285" s="86" t="s">
        <v>185</v>
      </c>
      <c r="G285" s="87" t="s">
        <v>186</v>
      </c>
      <c r="H285" s="88" t="s">
        <v>184</v>
      </c>
      <c r="I285" s="89" t="s">
        <v>176</v>
      </c>
      <c r="J285" s="90" t="s">
        <v>174</v>
      </c>
      <c r="K285" s="179" t="s">
        <v>180</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Resultado Elecciones 28M 2023</v>
      </c>
      <c r="C286" s="85" t="str" cm="1">
        <f t="array" ref="C286">IFERROR(INDEX('03.Muestra'!$F$8:$F$42,SMALL(IF("Página Web"='03.Muestra'!$D$8:$D$42,ROW('03.Muestra'!$F$8:$F$42)-MIN(ROW('03.Muestra'!$D$8:$D$42))+1,""),ROW()-284)),"")</f>
        <v>https://elecciones.comunidad.madrid/es/resultados-elecciones-asamblea-madrid-28m-2023</v>
      </c>
      <c r="D286" s="99" t="s">
        <v>184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Normativa electoral</v>
      </c>
      <c r="C287" s="85" t="str" cm="1">
        <f t="array" ref="C287">IFERROR(INDEX('03.Muestra'!$F$8:$F$42,SMALL(IF("Página Web"='03.Muestra'!$D$8:$D$42,ROW('03.Muestra'!$F$8:$F$42)-MIN(ROW('03.Muestra'!$D$8:$D$42))+1,""),ROW()-284)),"")</f>
        <v>https://elecciones.comunidad.madrid/es/informacion-electoral/normativa-electoral</v>
      </c>
      <c r="D287" s="99" t="s">
        <v>184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Calendario electoral</v>
      </c>
      <c r="C288" s="85" t="str" cm="1">
        <f t="array" ref="C288">IFERROR(INDEX('03.Muestra'!$F$8:$F$42,SMALL(IF("Página Web"='03.Muestra'!$D$8:$D$42,ROW('03.Muestra'!$F$8:$F$42)-MIN(ROW('03.Muestra'!$D$8:$D$42))+1,""),ROW()-284)),"")</f>
        <v>https://elecciones.comunidad.madrid/es/informacion-electoral/calendario-electoral</v>
      </c>
      <c r="D288" s="99" t="s">
        <v>184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Direcciones y teléfonos</v>
      </c>
      <c r="C289" s="85" t="str" cm="1">
        <f t="array" ref="C289">IFERROR(INDEX('03.Muestra'!$F$8:$F$42,SMALL(IF("Página Web"='03.Muestra'!$D$8:$D$42,ROW('03.Muestra'!$F$8:$F$42)-MIN(ROW('03.Muestra'!$D$8:$D$42))+1,""),ROW()-284)),"")</f>
        <v>https://elecciones.comunidad.madrid/es/juntas-electorales/direcciones-telefonos</v>
      </c>
      <c r="D289" s="99" t="s">
        <v>184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Impresos electrónicos</v>
      </c>
      <c r="C290" s="85" t="str" cm="1">
        <f t="array" ref="C290">IFERROR(INDEX('03.Muestra'!$F$8:$F$42,SMALL(IF("Página Web"='03.Muestra'!$D$8:$D$42,ROW('03.Muestra'!$F$8:$F$42)-MIN(ROW('03.Muestra'!$D$8:$D$42))+1,""),ROW()-284)),"")</f>
        <v>https://elecciones.comunidad.madrid/es/formaciones-politicas/impresos-electronicos</v>
      </c>
      <c r="D290" s="99" t="s">
        <v>184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Listado de candidaturas</v>
      </c>
      <c r="C291" s="85" t="str" cm="1">
        <f t="array" ref="C291">IFERROR(INDEX('03.Muestra'!$F$8:$F$42,SMALL(IF("Página Web"='03.Muestra'!$D$8:$D$42,ROW('03.Muestra'!$F$8:$F$42)-MIN(ROW('03.Muestra'!$D$8:$D$42))+1,""),ROW()-284)),"")</f>
        <v>https://elecciones.comunidad.madrid/es/formaciones-politicas/listado-candidaturas-proclamadas</v>
      </c>
      <c r="D291" s="99" t="s">
        <v>184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Partido Feminista de España</v>
      </c>
      <c r="C292" s="85" t="str" cm="1">
        <f t="array" ref="C292">IFERROR(INDEX('03.Muestra'!$F$8:$F$42,SMALL(IF("Página Web"='03.Muestra'!$D$8:$D$42,ROW('03.Muestra'!$F$8:$F$42)-MIN(ROW('03.Muestra'!$D$8:$D$42))+1,""),ROW()-284)),"")</f>
        <v>https://elecciones.comunidad.madrid/es/formaciones-politicas/listado-candidaturas/partido-feminista-espana</v>
      </c>
      <c r="D292" s="99" t="s">
        <v>184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¿Dónde voto?</v>
      </c>
      <c r="C293" s="85" t="str" cm="1">
        <f t="array" ref="C293">IFERROR(INDEX('03.Muestra'!$F$8:$F$42,SMALL(IF("Página Web"='03.Muestra'!$D$8:$D$42,ROW('03.Muestra'!$F$8:$F$42)-MIN(ROW('03.Muestra'!$D$8:$D$42))+1,""),ROW()-284)),"")</f>
        <v>https://elecciones.comunidad.madrid/es/votar/donde-voto</v>
      </c>
      <c r="D293" s="99" t="s">
        <v>184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Voto presencial</v>
      </c>
      <c r="C294" s="85" t="str" cm="1">
        <f t="array" ref="C294">IFERROR(INDEX('03.Muestra'!$F$8:$F$42,SMALL(IF("Página Web"='03.Muestra'!$D$8:$D$42,ROW('03.Muestra'!$F$8:$F$42)-MIN(ROW('03.Muestra'!$D$8:$D$42))+1,""),ROW()-284)),"")</f>
        <v>https://elecciones.comunidad.madrid/es/voto-local-electoral/voto-presencial</v>
      </c>
      <c r="D294" s="99" t="s">
        <v>184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Ciudadanos temporalmente en el extranjero</v>
      </c>
      <c r="C295" s="85" t="str" cm="1">
        <f t="array" ref="C295">IFERROR(INDEX('03.Muestra'!$F$8:$F$42,SMALL(IF("Página Web"='03.Muestra'!$D$8:$D$42,ROW('03.Muestra'!$F$8:$F$42)-MIN(ROW('03.Muestra'!$D$8:$D$42))+1,""),ROW()-284)),"")</f>
        <v>https://elecciones.comunidad.madrid/es/voto-correo/solicitud-voto-temporalmente-ausentes</v>
      </c>
      <c r="D295" s="99" t="s">
        <v>184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Nuevo votante</v>
      </c>
      <c r="C296" s="85" t="str" cm="1">
        <f t="array" ref="C296">IFERROR(INDEX('03.Muestra'!$F$8:$F$42,SMALL(IF("Página Web"='03.Muestra'!$D$8:$D$42,ROW('03.Muestra'!$F$8:$F$42)-MIN(ROW('03.Muestra'!$D$8:$D$42))+1,""),ROW()-284)),"")</f>
        <v>https://elecciones.comunidad.madrid/es/votar/nuevo-votante</v>
      </c>
      <c r="D296" s="99" t="s">
        <v>184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Simulación método D'Hondt</v>
      </c>
      <c r="C297" s="85" t="str" cm="1">
        <f t="array" ref="C297">IFERROR(INDEX('03.Muestra'!$F$8:$F$42,SMALL(IF("Página Web"='03.Muestra'!$D$8:$D$42,ROW('03.Muestra'!$F$8:$F$42)-MIN(ROW('03.Muestra'!$D$8:$D$42))+1,""),ROW()-284)),"")</f>
        <v>https://elecciones.comunidad.madrid/es/informacion-util/simulacion-metodo-dhondt</v>
      </c>
      <c r="D297" s="99" t="s">
        <v>184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Ley D'Hondt</v>
      </c>
      <c r="C298" s="85" t="str" cm="1">
        <f t="array" ref="C298">IFERROR(INDEX('03.Muestra'!$F$8:$F$42,SMALL(IF("Página Web"='03.Muestra'!$D$8:$D$42,ROW('03.Muestra'!$F$8:$F$42)-MIN(ROW('03.Muestra'!$D$8:$D$42))+1,""),ROW()-284)),"")</f>
        <v>https://elecciones.comunidad.madrid/es/resultados/ley_d_hondt</v>
      </c>
      <c r="D298" s="99" t="s">
        <v>184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Voto por correo elector CERA en España</v>
      </c>
      <c r="C299" s="85" t="str" cm="1">
        <f t="array" ref="C299">IFERROR(INDEX('03.Muestra'!$F$8:$F$42,SMALL(IF("Página Web"='03.Muestra'!$D$8:$D$42,ROW('03.Muestra'!$F$8:$F$42)-MIN(ROW('03.Muestra'!$D$8:$D$42))+1,""),ROW()-284)),"")</f>
        <v>https://elecciones.comunidad.madrid/es/preguntas-frecuentes/voto-correo-electores-residentes-extranjero</v>
      </c>
      <c r="D299" s="99" t="s">
        <v>184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https://elecciones.comunidad.madrid/es/buzon-de-sugerencias</v>
      </c>
      <c r="D300" s="99" t="s">
        <v>184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Buscador</v>
      </c>
      <c r="C301" s="85" t="str" cm="1">
        <f t="array" ref="C301">IFERROR(INDEX('03.Muestra'!$F$8:$F$42,SMALL(IF("Página Web"='03.Muestra'!$D$8:$D$42,ROW('03.Muestra'!$F$8:$F$42)-MIN(ROW('03.Muestra'!$D$8:$D$42))+1,""),ROW()-284)),"")</f>
        <v>https://elecciones.comunidad.madrid/es/search?search_api_fulltext=partido</v>
      </c>
      <c r="D301" s="99" t="s">
        <v>184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Legal-Privacidad</v>
      </c>
      <c r="C302" s="85" t="str" cm="1">
        <f t="array" ref="C302">IFERROR(INDEX('03.Muestra'!$F$8:$F$42,SMALL(IF("Página Web"='03.Muestra'!$D$8:$D$42,ROW('03.Muestra'!$F$8:$F$42)-MIN(ROW('03.Muestra'!$D$8:$D$42))+1,""),ROW()-284)),"")</f>
        <v>https://elecciones.comunidad.madrid/es/aviso-legal</v>
      </c>
      <c r="D302" s="99" t="s">
        <v>184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https://elecciones.comunidad.madrid/es/sitemap</v>
      </c>
      <c r="D303" s="99" t="s">
        <v>184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Declaracion Accesibilidad</v>
      </c>
      <c r="C304" s="85" t="str" cm="1">
        <f t="array" ref="C304">IFERROR(INDEX('03.Muestra'!$F$8:$F$42,SMALL(IF("Página Web"='03.Muestra'!$D$8:$D$42,ROW('03.Muestra'!$F$8:$F$42)-MIN(ROW('03.Muestra'!$D$8:$D$42))+1,""),ROW()-284)),"")</f>
        <v>https://elecciones.comunidad.madrid/es/accesibilidad</v>
      </c>
      <c r="D304" s="99" t="s">
        <v>184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181</v>
      </c>
      <c r="B322" s="23" t="s">
        <v>173</v>
      </c>
      <c r="C322" s="24" t="s">
        <v>222</v>
      </c>
      <c r="D322" s="25" t="s">
        <v>183</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https://elecciones.comunidad.madrid/es</v>
      </c>
      <c r="D323" s="99" t="s">
        <v>176</v>
      </c>
      <c r="E323" s="79" t="str">
        <f t="shared" ref="E323:E357" si="16">IF(D323&lt;&gt;"",IF(AND(B323&lt;&gt;"",C323&lt;&gt;""),"","ERR"),"")</f>
        <v/>
      </c>
      <c r="F323" s="86" t="s">
        <v>185</v>
      </c>
      <c r="G323" s="87" t="s">
        <v>186</v>
      </c>
      <c r="H323" s="88" t="s">
        <v>184</v>
      </c>
      <c r="I323" s="89" t="s">
        <v>176</v>
      </c>
      <c r="J323" s="90" t="s">
        <v>174</v>
      </c>
      <c r="K323" s="179" t="s">
        <v>180</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Resultado Elecciones 28M 2023</v>
      </c>
      <c r="C324" s="85" t="str" cm="1">
        <f t="array" ref="C324">IFERROR(INDEX('03.Muestra'!$F$8:$F$42,SMALL(IF("Página Web"='03.Muestra'!$D$8:$D$42,ROW('03.Muestra'!$F$8:$F$42)-MIN(ROW('03.Muestra'!$D$8:$D$42))+1,""),ROW()-322)),"")</f>
        <v>https://elecciones.comunidad.madrid/es/resultados-elecciones-asamblea-madrid-28m-2023</v>
      </c>
      <c r="D324" s="99" t="s">
        <v>184</v>
      </c>
      <c r="E324" s="79" t="str">
        <f t="shared" si="16"/>
        <v/>
      </c>
      <c r="F324" s="91">
        <f ca="1">COUNTIF($D323:INDIRECT("$D" &amp;  SUM(ROW()-1,'03.Muestra'!$D$45)-1),F323)</f>
        <v>0</v>
      </c>
      <c r="G324" s="91">
        <f ca="1">COUNTIF($D323:INDIRECT("$D" &amp;  SUM(ROW()-1,'03.Muestra'!$D$45)-1),G323)</f>
        <v>0</v>
      </c>
      <c r="H324" s="91">
        <f ca="1">COUNTIF($D323:INDIRECT("$D" &amp;  SUM(ROW()-1,'03.Muestra'!$D$45)-1),H323)</f>
        <v>16</v>
      </c>
      <c r="I324" s="91">
        <f ca="1">COUNTIF($D323:INDIRECT("$D" &amp;  SUM(ROW()-1,'03.Muestra'!$D$45)-1),I323)</f>
        <v>4</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Normativa electoral</v>
      </c>
      <c r="C325" s="85" t="str" cm="1">
        <f t="array" ref="C325">IFERROR(INDEX('03.Muestra'!$F$8:$F$42,SMALL(IF("Página Web"='03.Muestra'!$D$8:$D$42,ROW('03.Muestra'!$F$8:$F$42)-MIN(ROW('03.Muestra'!$D$8:$D$42))+1,""),ROW()-322)),"")</f>
        <v>https://elecciones.comunidad.madrid/es/informacion-electoral/normativa-electoral</v>
      </c>
      <c r="D325" s="99" t="s">
        <v>184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Calendario electoral</v>
      </c>
      <c r="C326" s="85" t="str" cm="1">
        <f t="array" ref="C326">IFERROR(INDEX('03.Muestra'!$F$8:$F$42,SMALL(IF("Página Web"='03.Muestra'!$D$8:$D$42,ROW('03.Muestra'!$F$8:$F$42)-MIN(ROW('03.Muestra'!$D$8:$D$42))+1,""),ROW()-322)),"")</f>
        <v>https://elecciones.comunidad.madrid/es/informacion-electoral/calendario-electoral</v>
      </c>
      <c r="D326" s="99" t="s">
        <v>184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Direcciones y teléfonos</v>
      </c>
      <c r="C327" s="85" t="str" cm="1">
        <f t="array" ref="C327">IFERROR(INDEX('03.Muestra'!$F$8:$F$42,SMALL(IF("Página Web"='03.Muestra'!$D$8:$D$42,ROW('03.Muestra'!$F$8:$F$42)-MIN(ROW('03.Muestra'!$D$8:$D$42))+1,""),ROW()-322)),"")</f>
        <v>https://elecciones.comunidad.madrid/es/juntas-electorales/direcciones-telefonos</v>
      </c>
      <c r="D327" s="99" t="s">
        <v>184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Impresos electrónicos</v>
      </c>
      <c r="C328" s="85" t="str" cm="1">
        <f t="array" ref="C328">IFERROR(INDEX('03.Muestra'!$F$8:$F$42,SMALL(IF("Página Web"='03.Muestra'!$D$8:$D$42,ROW('03.Muestra'!$F$8:$F$42)-MIN(ROW('03.Muestra'!$D$8:$D$42))+1,""),ROW()-322)),"")</f>
        <v>https://elecciones.comunidad.madrid/es/formaciones-politicas/impresos-electronicos</v>
      </c>
      <c r="D328" s="99" t="s">
        <v>184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Listado de candidaturas</v>
      </c>
      <c r="C329" s="85" t="str" cm="1">
        <f t="array" ref="C329">IFERROR(INDEX('03.Muestra'!$F$8:$F$42,SMALL(IF("Página Web"='03.Muestra'!$D$8:$D$42,ROW('03.Muestra'!$F$8:$F$42)-MIN(ROW('03.Muestra'!$D$8:$D$42))+1,""),ROW()-322)),"")</f>
        <v>https://elecciones.comunidad.madrid/es/formaciones-politicas/listado-candidaturas-proclamadas</v>
      </c>
      <c r="D329" s="99" t="s">
        <v>184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Partido Feminista de España</v>
      </c>
      <c r="C330" s="85" t="str" cm="1">
        <f t="array" ref="C330">IFERROR(INDEX('03.Muestra'!$F$8:$F$42,SMALL(IF("Página Web"='03.Muestra'!$D$8:$D$42,ROW('03.Muestra'!$F$8:$F$42)-MIN(ROW('03.Muestra'!$D$8:$D$42))+1,""),ROW()-322)),"")</f>
        <v>https://elecciones.comunidad.madrid/es/formaciones-politicas/listado-candidaturas/partido-feminista-espana</v>
      </c>
      <c r="D330" s="99" t="s">
        <v>184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¿Dónde voto?</v>
      </c>
      <c r="C331" s="85" t="str" cm="1">
        <f t="array" ref="C331">IFERROR(INDEX('03.Muestra'!$F$8:$F$42,SMALL(IF("Página Web"='03.Muestra'!$D$8:$D$42,ROW('03.Muestra'!$F$8:$F$42)-MIN(ROW('03.Muestra'!$D$8:$D$42))+1,""),ROW()-322)),"")</f>
        <v>https://elecciones.comunidad.madrid/es/votar/donde-voto</v>
      </c>
      <c r="D331" s="99" t="s">
        <v>184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Voto presencial</v>
      </c>
      <c r="C332" s="85" t="str" cm="1">
        <f t="array" ref="C332">IFERROR(INDEX('03.Muestra'!$F$8:$F$42,SMALL(IF("Página Web"='03.Muestra'!$D$8:$D$42,ROW('03.Muestra'!$F$8:$F$42)-MIN(ROW('03.Muestra'!$D$8:$D$42))+1,""),ROW()-322)),"")</f>
        <v>https://elecciones.comunidad.madrid/es/voto-local-electoral/voto-presencial</v>
      </c>
      <c r="D332" s="99" t="s">
        <v>176</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Ciudadanos temporalmente en el extranjero</v>
      </c>
      <c r="C333" s="85" t="str" cm="1">
        <f t="array" ref="C333">IFERROR(INDEX('03.Muestra'!$F$8:$F$42,SMALL(IF("Página Web"='03.Muestra'!$D$8:$D$42,ROW('03.Muestra'!$F$8:$F$42)-MIN(ROW('03.Muestra'!$D$8:$D$42))+1,""),ROW()-322)),"")</f>
        <v>https://elecciones.comunidad.madrid/es/voto-correo/solicitud-voto-temporalmente-ausentes</v>
      </c>
      <c r="D333" s="99" t="s">
        <v>176</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Nuevo votante</v>
      </c>
      <c r="C334" s="85" t="str" cm="1">
        <f t="array" ref="C334">IFERROR(INDEX('03.Muestra'!$F$8:$F$42,SMALL(IF("Página Web"='03.Muestra'!$D$8:$D$42,ROW('03.Muestra'!$F$8:$F$42)-MIN(ROW('03.Muestra'!$D$8:$D$42))+1,""),ROW()-322)),"")</f>
        <v>https://elecciones.comunidad.madrid/es/votar/nuevo-votante</v>
      </c>
      <c r="D334" s="99" t="s">
        <v>176</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Simulación método D'Hondt</v>
      </c>
      <c r="C335" s="85" t="str" cm="1">
        <f t="array" ref="C335">IFERROR(INDEX('03.Muestra'!$F$8:$F$42,SMALL(IF("Página Web"='03.Muestra'!$D$8:$D$42,ROW('03.Muestra'!$F$8:$F$42)-MIN(ROW('03.Muestra'!$D$8:$D$42))+1,""),ROW()-322)),"")</f>
        <v>https://elecciones.comunidad.madrid/es/informacion-util/simulacion-metodo-dhondt</v>
      </c>
      <c r="D335" s="99" t="s">
        <v>184</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Ley D'Hondt</v>
      </c>
      <c r="C336" s="85" t="str" cm="1">
        <f t="array" ref="C336">IFERROR(INDEX('03.Muestra'!$F$8:$F$42,SMALL(IF("Página Web"='03.Muestra'!$D$8:$D$42,ROW('03.Muestra'!$F$8:$F$42)-MIN(ROW('03.Muestra'!$D$8:$D$42))+1,""),ROW()-322)),"")</f>
        <v>https://elecciones.comunidad.madrid/es/resultados/ley_d_hondt</v>
      </c>
      <c r="D336" s="99" t="s">
        <v>184</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Voto por correo elector CERA en España</v>
      </c>
      <c r="C337" s="85" t="str" cm="1">
        <f t="array" ref="C337">IFERROR(INDEX('03.Muestra'!$F$8:$F$42,SMALL(IF("Página Web"='03.Muestra'!$D$8:$D$42,ROW('03.Muestra'!$F$8:$F$42)-MIN(ROW('03.Muestra'!$D$8:$D$42))+1,""),ROW()-322)),"")</f>
        <v>https://elecciones.comunidad.madrid/es/preguntas-frecuentes/voto-correo-electores-residentes-extranjero</v>
      </c>
      <c r="D337" s="99" t="s">
        <v>184</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https://elecciones.comunidad.madrid/es/buzon-de-sugerencias</v>
      </c>
      <c r="D338" s="99" t="s">
        <v>184</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Buscador</v>
      </c>
      <c r="C339" s="85" t="str" cm="1">
        <f t="array" ref="C339">IFERROR(INDEX('03.Muestra'!$F$8:$F$42,SMALL(IF("Página Web"='03.Muestra'!$D$8:$D$42,ROW('03.Muestra'!$F$8:$F$42)-MIN(ROW('03.Muestra'!$D$8:$D$42))+1,""),ROW()-322)),"")</f>
        <v>https://elecciones.comunidad.madrid/es/search?search_api_fulltext=partido</v>
      </c>
      <c r="D339" s="99" t="s">
        <v>184</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Legal-Privacidad</v>
      </c>
      <c r="C340" s="85" t="str" cm="1">
        <f t="array" ref="C340">IFERROR(INDEX('03.Muestra'!$F$8:$F$42,SMALL(IF("Página Web"='03.Muestra'!$D$8:$D$42,ROW('03.Muestra'!$F$8:$F$42)-MIN(ROW('03.Muestra'!$D$8:$D$42))+1,""),ROW()-322)),"")</f>
        <v>https://elecciones.comunidad.madrid/es/aviso-legal</v>
      </c>
      <c r="D340" s="99" t="s">
        <v>184</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https://elecciones.comunidad.madrid/es/sitemap</v>
      </c>
      <c r="D341" s="99" t="s">
        <v>184</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Declaracion Accesibilidad</v>
      </c>
      <c r="C342" s="85" t="str" cm="1">
        <f t="array" ref="C342">IFERROR(INDEX('03.Muestra'!$F$8:$F$42,SMALL(IF("Página Web"='03.Muestra'!$D$8:$D$42,ROW('03.Muestra'!$F$8:$F$42)-MIN(ROW('03.Muestra'!$D$8:$D$42))+1,""),ROW()-322)),"")</f>
        <v>https://elecciones.comunidad.madrid/es/accesibilidad</v>
      </c>
      <c r="D342" s="99" t="s">
        <v>184</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90" priority="133" stopIfTrue="1" operator="equal">
      <formula>"N/D"</formula>
    </cfRule>
    <cfRule type="cellIs" dxfId="989" priority="131" stopIfTrue="1" operator="equal">
      <formula>"N/A"</formula>
    </cfRule>
    <cfRule type="cellIs" dxfId="988" priority="130" stopIfTrue="1" operator="equal">
      <formula>"Falla"</formula>
    </cfRule>
    <cfRule type="cellIs" dxfId="987" priority="127" stopIfTrue="1" operator="equal">
      <formula>"-"</formula>
    </cfRule>
    <cfRule type="cellIs" dxfId="986" priority="129" stopIfTrue="1" operator="equal">
      <formula>"Pasa"</formula>
    </cfRule>
    <cfRule type="expression" dxfId="985" priority="128" stopIfTrue="1">
      <formula>ISBLANK(D19)</formula>
    </cfRule>
    <cfRule type="cellIs" dxfId="984" priority="132" stopIfTrue="1" operator="equal">
      <formula>"N/T"</formula>
    </cfRule>
  </conditionalFormatting>
  <conditionalFormatting sqref="D57:D91">
    <cfRule type="cellIs" dxfId="983" priority="116" stopIfTrue="1" operator="equal">
      <formula>"Falla"</formula>
    </cfRule>
    <cfRule type="cellIs" dxfId="982" priority="115" stopIfTrue="1" operator="equal">
      <formula>"Pasa"</formula>
    </cfRule>
    <cfRule type="cellIs" dxfId="981" priority="113" stopIfTrue="1" operator="equal">
      <formula>"-"</formula>
    </cfRule>
    <cfRule type="cellIs" dxfId="980" priority="119" stopIfTrue="1" operator="equal">
      <formula>"N/D"</formula>
    </cfRule>
    <cfRule type="cellIs" dxfId="979" priority="118" stopIfTrue="1" operator="equal">
      <formula>"N/T"</formula>
    </cfRule>
    <cfRule type="cellIs" dxfId="978" priority="117" stopIfTrue="1" operator="equal">
      <formula>"N/A"</formula>
    </cfRule>
    <cfRule type="expression" dxfId="977" priority="114" stopIfTrue="1">
      <formula>ISBLANK(D57)</formula>
    </cfRule>
  </conditionalFormatting>
  <conditionalFormatting sqref="D95:D129">
    <cfRule type="cellIs" dxfId="976" priority="103" stopIfTrue="1" operator="equal">
      <formula>"N/A"</formula>
    </cfRule>
    <cfRule type="cellIs" dxfId="975" priority="102" stopIfTrue="1" operator="equal">
      <formula>"Falla"</formula>
    </cfRule>
    <cfRule type="cellIs" dxfId="974" priority="101" stopIfTrue="1" operator="equal">
      <formula>"Pasa"</formula>
    </cfRule>
    <cfRule type="expression" dxfId="973" priority="100" stopIfTrue="1">
      <formula>ISBLANK(D95)</formula>
    </cfRule>
    <cfRule type="cellIs" dxfId="972" priority="99" stopIfTrue="1" operator="equal">
      <formula>"-"</formula>
    </cfRule>
    <cfRule type="cellIs" dxfId="971" priority="104" stopIfTrue="1" operator="equal">
      <formula>"N/T"</formula>
    </cfRule>
    <cfRule type="cellIs" dxfId="970" priority="105" stopIfTrue="1" operator="equal">
      <formula>"N/D"</formula>
    </cfRule>
  </conditionalFormatting>
  <conditionalFormatting sqref="D133:D167">
    <cfRule type="cellIs" dxfId="969" priority="78" stopIfTrue="1" operator="equal">
      <formula>"-"</formula>
    </cfRule>
    <cfRule type="expression" dxfId="968" priority="79" stopIfTrue="1">
      <formula>ISBLANK(D133)</formula>
    </cfRule>
    <cfRule type="cellIs" dxfId="967" priority="81" stopIfTrue="1" operator="equal">
      <formula>"Falla"</formula>
    </cfRule>
    <cfRule type="cellIs" dxfId="966" priority="80" stopIfTrue="1" operator="equal">
      <formula>"Pasa"</formula>
    </cfRule>
    <cfRule type="cellIs" dxfId="965" priority="83" stopIfTrue="1" operator="equal">
      <formula>"N/T"</formula>
    </cfRule>
    <cfRule type="cellIs" dxfId="964" priority="84" stopIfTrue="1" operator="equal">
      <formula>"N/D"</formula>
    </cfRule>
    <cfRule type="cellIs" dxfId="963" priority="82" stopIfTrue="1" operator="equal">
      <formula>"N/A"</formula>
    </cfRule>
  </conditionalFormatting>
  <conditionalFormatting sqref="D171:D205">
    <cfRule type="cellIs" dxfId="962" priority="64" stopIfTrue="1" operator="equal">
      <formula>"-"</formula>
    </cfRule>
    <cfRule type="expression" dxfId="961" priority="65" stopIfTrue="1">
      <formula>ISBLANK(D171)</formula>
    </cfRule>
    <cfRule type="cellIs" dxfId="960" priority="67" stopIfTrue="1" operator="equal">
      <formula>"Falla"</formula>
    </cfRule>
    <cfRule type="cellIs" dxfId="959" priority="68" stopIfTrue="1" operator="equal">
      <formula>"N/A"</formula>
    </cfRule>
    <cfRule type="cellIs" dxfId="958" priority="66" stopIfTrue="1" operator="equal">
      <formula>"Pasa"</formula>
    </cfRule>
    <cfRule type="cellIs" dxfId="957" priority="70" stopIfTrue="1" operator="equal">
      <formula>"N/D"</formula>
    </cfRule>
    <cfRule type="cellIs" dxfId="956" priority="69" stopIfTrue="1" operator="equal">
      <formula>"N/T"</formula>
    </cfRule>
  </conditionalFormatting>
  <conditionalFormatting sqref="D209:D243">
    <cfRule type="cellIs" dxfId="955" priority="53" stopIfTrue="1" operator="equal">
      <formula>"Falla"</formula>
    </cfRule>
    <cfRule type="cellIs" dxfId="954" priority="52" stopIfTrue="1" operator="equal">
      <formula>"Pasa"</formula>
    </cfRule>
    <cfRule type="expression" dxfId="953" priority="51" stopIfTrue="1">
      <formula>ISBLANK(D209)</formula>
    </cfRule>
    <cfRule type="cellIs" dxfId="952" priority="50" stopIfTrue="1" operator="equal">
      <formula>"-"</formula>
    </cfRule>
    <cfRule type="cellIs" dxfId="951" priority="54" stopIfTrue="1" operator="equal">
      <formula>"N/A"</formula>
    </cfRule>
    <cfRule type="cellIs" dxfId="950" priority="55" stopIfTrue="1" operator="equal">
      <formula>"N/T"</formula>
    </cfRule>
    <cfRule type="cellIs" dxfId="949" priority="56" stopIfTrue="1" operator="equal">
      <formula>"N/D"</formula>
    </cfRule>
  </conditionalFormatting>
  <conditionalFormatting sqref="D247:D281">
    <cfRule type="cellIs" dxfId="948" priority="42" stopIfTrue="1" operator="equal">
      <formula>"N/D"</formula>
    </cfRule>
    <cfRule type="cellIs" dxfId="947" priority="41" stopIfTrue="1" operator="equal">
      <formula>"N/T"</formula>
    </cfRule>
    <cfRule type="cellIs" dxfId="946" priority="39" stopIfTrue="1" operator="equal">
      <formula>"Falla"</formula>
    </cfRule>
    <cfRule type="cellIs" dxfId="945" priority="38" stopIfTrue="1" operator="equal">
      <formula>"Pasa"</formula>
    </cfRule>
    <cfRule type="expression" dxfId="944" priority="37" stopIfTrue="1">
      <formula>ISBLANK(D247)</formula>
    </cfRule>
    <cfRule type="cellIs" dxfId="943" priority="36" stopIfTrue="1" operator="equal">
      <formula>"-"</formula>
    </cfRule>
    <cfRule type="cellIs" dxfId="942" priority="40" stopIfTrue="1" operator="equal">
      <formula>"N/A"</formula>
    </cfRule>
  </conditionalFormatting>
  <conditionalFormatting sqref="D285:D319">
    <cfRule type="cellIs" dxfId="941" priority="18" stopIfTrue="1" operator="equal">
      <formula>"Falla"</formula>
    </cfRule>
    <cfRule type="cellIs" dxfId="940" priority="19" stopIfTrue="1" operator="equal">
      <formula>"N/A"</formula>
    </cfRule>
    <cfRule type="cellIs" dxfId="939" priority="20" stopIfTrue="1" operator="equal">
      <formula>"N/T"</formula>
    </cfRule>
    <cfRule type="cellIs" dxfId="938" priority="21" stopIfTrue="1" operator="equal">
      <formula>"N/D"</formula>
    </cfRule>
    <cfRule type="cellIs" dxfId="937" priority="17" stopIfTrue="1" operator="equal">
      <formula>"Pasa"</formula>
    </cfRule>
    <cfRule type="cellIs" dxfId="936" priority="15" stopIfTrue="1" operator="equal">
      <formula>"-"</formula>
    </cfRule>
    <cfRule type="expression" dxfId="935" priority="16" stopIfTrue="1">
      <formula>ISBLANK(D285)</formula>
    </cfRule>
  </conditionalFormatting>
  <conditionalFormatting sqref="D323:D357">
    <cfRule type="cellIs" dxfId="934" priority="6" stopIfTrue="1" operator="equal">
      <formula>"N/T"</formula>
    </cfRule>
    <cfRule type="cellIs" dxfId="933" priority="5" stopIfTrue="1" operator="equal">
      <formula>"N/A"</formula>
    </cfRule>
    <cfRule type="cellIs" dxfId="932" priority="4" stopIfTrue="1" operator="equal">
      <formula>"Falla"</formula>
    </cfRule>
    <cfRule type="cellIs" dxfId="931" priority="3" stopIfTrue="1" operator="equal">
      <formula>"Pasa"</formula>
    </cfRule>
    <cfRule type="expression" dxfId="930" priority="2" stopIfTrue="1">
      <formula>ISBLANK(D323)</formula>
    </cfRule>
    <cfRule type="cellIs" dxfId="929" priority="1" stopIfTrue="1" operator="equal">
      <formula>"-"</formula>
    </cfRule>
    <cfRule type="cellIs" dxfId="928" priority="7" stopIfTrue="1" operator="equal">
      <formula>"N/D"</formula>
    </cfRule>
  </conditionalFormatting>
  <conditionalFormatting sqref="E19:E53 E57:E91 E95:E129 E209:E243 E247:E281 E285:E319 E323:E357">
    <cfRule type="cellIs" dxfId="927" priority="350" stopIfTrue="1" operator="equal">
      <formula>"ERR"</formula>
    </cfRule>
  </conditionalFormatting>
  <conditionalFormatting sqref="E133:E167">
    <cfRule type="cellIs" dxfId="926" priority="180" stopIfTrue="1" operator="equal">
      <formula>"ERR"</formula>
    </cfRule>
  </conditionalFormatting>
  <conditionalFormatting sqref="E171:E205">
    <cfRule type="cellIs" dxfId="925" priority="166" stopIfTrue="1" operator="equal">
      <formula>"ERR"</formula>
    </cfRule>
  </conditionalFormatting>
  <conditionalFormatting sqref="F19:J19 F57:J57 F95:J95 F133:J133 F171:J171 F209:J209 F247:J247 F285:J285 F323:J323">
    <cfRule type="expression" dxfId="924" priority="344" stopIfTrue="1">
      <formula>ISBLANK(F19)</formula>
    </cfRule>
    <cfRule type="cellIs" dxfId="923" priority="345" stopIfTrue="1" operator="equal">
      <formula>"Pasa"</formula>
    </cfRule>
    <cfRule type="cellIs" dxfId="922" priority="346" stopIfTrue="1" operator="equal">
      <formula>"Falla"</formula>
    </cfRule>
    <cfRule type="cellIs" dxfId="921" priority="347" stopIfTrue="1" operator="equal">
      <formula>"N/A"</formula>
    </cfRule>
    <cfRule type="cellIs" dxfId="920" priority="348" stopIfTrue="1" operator="equal">
      <formula>"N/T"</formula>
    </cfRule>
    <cfRule type="cellIs" dxfId="919" priority="349" stopIfTrue="1" operator="equal">
      <formula>"N/D"</formula>
    </cfRule>
  </conditionalFormatting>
  <conditionalFormatting sqref="K23:K24">
    <cfRule type="expression" dxfId="918" priority="141" stopIfTrue="1">
      <formula>ISBLANK(K23)</formula>
    </cfRule>
    <cfRule type="cellIs" dxfId="917" priority="142" stopIfTrue="1" operator="equal">
      <formula>"Pasa"</formula>
    </cfRule>
    <cfRule type="cellIs" dxfId="916" priority="143" stopIfTrue="1" operator="equal">
      <formula>"Falla"</formula>
    </cfRule>
    <cfRule type="cellIs" dxfId="915" priority="144" stopIfTrue="1" operator="equal">
      <formula>"N/A"</formula>
    </cfRule>
    <cfRule type="cellIs" dxfId="914" priority="145" stopIfTrue="1" operator="equal">
      <formula>"N/T"</formula>
    </cfRule>
    <cfRule type="cellIs" dxfId="913" priority="14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1330" sqref="D1312:D1330"/>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165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223</v>
      </c>
      <c r="C8" s="18"/>
      <c r="D8" s="79"/>
      <c r="E8" s="79"/>
      <c r="F8" s="18"/>
      <c r="G8" s="18"/>
      <c r="H8" s="18"/>
      <c r="I8" s="18"/>
      <c r="J8" s="18"/>
      <c r="K8" s="18"/>
      <c r="L8" s="18"/>
      <c r="M8" s="18"/>
      <c r="N8" s="18"/>
      <c r="O8" s="18"/>
    </row>
    <row r="9" spans="1:64" ht="30" customHeight="1">
      <c r="B9" s="231" t="s">
        <v>167</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168</v>
      </c>
      <c r="C11" s="230"/>
      <c r="D11" s="26"/>
      <c r="E11" s="14"/>
      <c r="F11" s="196" t="s">
        <v>169</v>
      </c>
      <c r="G11" s="105" t="s">
        <v>170</v>
      </c>
      <c r="H11" s="197" t="s">
        <v>171</v>
      </c>
      <c r="I11" s="22"/>
      <c r="J11" s="196" t="s">
        <v>172</v>
      </c>
      <c r="K11" s="105" t="s">
        <v>170</v>
      </c>
      <c r="L11" s="197" t="s">
        <v>171</v>
      </c>
      <c r="M11" s="18"/>
      <c r="N11" s="18"/>
      <c r="O11" s="18"/>
      <c r="P11" s="18"/>
      <c r="Q11" s="18"/>
      <c r="R11" s="18"/>
      <c r="U11" s="18"/>
      <c r="V11" s="18"/>
      <c r="W11" s="18"/>
      <c r="X11" s="18"/>
      <c r="Y11" s="18"/>
    </row>
    <row r="12" spans="1:64" ht="12" customHeight="1">
      <c r="B12" s="108" t="s">
        <v>173</v>
      </c>
      <c r="C12" s="198">
        <f>COUNTIF($B$18:$B$3962,B12)</f>
        <v>50</v>
      </c>
      <c r="D12" s="26"/>
      <c r="E12" s="14"/>
      <c r="F12" s="199" t="s">
        <v>174</v>
      </c>
      <c r="G12" s="72">
        <f ca="1">J20+J58+J96+J134+J172+J210+J248+J286+J324+J362+J400+J438+J476+J514+J552+J590+J628+J666+J704+J742+J780+J818+J856+J894+J932+J970+J1008+J1046+J1084+J1122+J1160+J1198+J1236+J1274+J1312+J1350+J1388+J1426+J1464+J1502+J1540+J1578+J1616+J1654+J1692+J1730+J1768+J1806+J1844+J1882</f>
        <v>349</v>
      </c>
      <c r="H12" s="42">
        <f ca="1">IF(($G$15+$K$15)=0,0,G12/($G$15+$K$15))</f>
        <v>0.34899999999999998</v>
      </c>
      <c r="I12" s="26"/>
      <c r="J12" s="183" t="s">
        <v>175</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176</v>
      </c>
      <c r="G13" s="72">
        <f ca="1">I20+I58+I96+I134+I172+I210+I248+I286+I324+I362+I400+I438+I476+I514+I552+I590+I628+I666+I704+I742+I780+I818+I856+I894+I932+I970+I1008+I1046+I1084+I1122+I1160+I1198+I1236+I1274+I1312+I1350+I1388+I1426+I1464+I1502+I1540+I1578+I1616+I1654+I1692+I1730+I1768+I1806+I1844+I1882</f>
        <v>307</v>
      </c>
      <c r="H13" s="42">
        <f ca="1">IF(($G$15+$K$15)=0,0,G13/($G$15+$K$15))</f>
        <v>0.307</v>
      </c>
      <c r="I13" s="26"/>
      <c r="J13" s="183" t="s">
        <v>177</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178</v>
      </c>
      <c r="C14" s="201">
        <f>C12+C13</f>
        <v>50</v>
      </c>
      <c r="D14" s="26"/>
      <c r="E14" s="14"/>
      <c r="F14" s="199" t="s">
        <v>179</v>
      </c>
      <c r="G14" s="72">
        <f ca="1">H20+H58+H96+H134+H172+H210+H248+H286+H324+H362+H400+H438+H476+H514+H552+H590+H628+H666+H704+H742+H780+H818+H856+H894+H932+H970+H1008+H1046+H1084+H1122+H1160+H1198+H1236+H1274+H1312+H1350+H1388+H1426+H1464+H1502+H1540+H1578+H1616+H1654+H1692+H1730+H1768+H1806+H1844+H1882</f>
        <v>344</v>
      </c>
      <c r="H14" s="42">
        <f ca="1">IF(($G$15+$K$15)=0,0,G14/($G$15+$K$15))</f>
        <v>0.34399999999999997</v>
      </c>
      <c r="I14" s="26"/>
      <c r="J14" s="183" t="s">
        <v>180</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178</v>
      </c>
      <c r="G15" s="203">
        <f ca="1">SUM(G12:G14)</f>
        <v>1000</v>
      </c>
      <c r="H15" s="204">
        <f ca="1">SUM(H12:H14)</f>
        <v>0.99999999999999989</v>
      </c>
      <c r="I15" s="26"/>
      <c r="J15" s="200" t="s">
        <v>178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181</v>
      </c>
      <c r="B18" s="23" t="s">
        <v>173</v>
      </c>
      <c r="C18" s="24" t="s">
        <v>224</v>
      </c>
      <c r="D18" s="25" t="s">
        <v>183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https://elecciones.comunidad.madrid/es</v>
      </c>
      <c r="D19" s="99" t="s">
        <v>174</v>
      </c>
      <c r="E19" s="79" t="str">
        <f t="shared" ref="E19:E53" si="0">IF(D19&lt;&gt;"",IF(AND(B19&lt;&gt;"",C19&lt;&gt;""),"","ERR"),"")</f>
        <v/>
      </c>
      <c r="F19" s="86" t="s">
        <v>185</v>
      </c>
      <c r="G19" s="87" t="s">
        <v>186</v>
      </c>
      <c r="H19" s="88" t="s">
        <v>184</v>
      </c>
      <c r="I19" s="89" t="s">
        <v>176</v>
      </c>
      <c r="J19" s="90" t="s">
        <v>174</v>
      </c>
      <c r="K19" s="179" t="s">
        <v>180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Resultado Elecciones 28M 2023</v>
      </c>
      <c r="C20" s="85" t="str" cm="1">
        <f t="array" ref="C20">IFERROR(INDEX('03.Muestra'!$F$8:$F$42,SMALL(IF("Página Web"='03.Muestra'!$D$8:$D$42,ROW('03.Muestra'!$F$8:$F$42)-MIN(ROW('03.Muestra'!$D$8:$D$42))+1,""),ROW()-18)),"")</f>
        <v>https://elecciones.comunidad.madrid/es/resultados-elecciones-asamblea-madrid-28m-2023</v>
      </c>
      <c r="D20" s="99" t="s">
        <v>174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Normativa electoral</v>
      </c>
      <c r="C21" s="85" t="str" cm="1">
        <f t="array" ref="C21">IFERROR(INDEX('03.Muestra'!$F$8:$F$42,SMALL(IF("Página Web"='03.Muestra'!$D$8:$D$42,ROW('03.Muestra'!$F$8:$F$42)-MIN(ROW('03.Muestra'!$D$8:$D$42))+1,""),ROW()-18)),"")</f>
        <v>https://elecciones.comunidad.madrid/es/informacion-electoral/normativa-electoral</v>
      </c>
      <c r="D21" s="99" t="s">
        <v>174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 electoral</v>
      </c>
      <c r="C22" s="85" t="str" cm="1">
        <f t="array" ref="C22">IFERROR(INDEX('03.Muestra'!$F$8:$F$42,SMALL(IF("Página Web"='03.Muestra'!$D$8:$D$42,ROW('03.Muestra'!$F$8:$F$42)-MIN(ROW('03.Muestra'!$D$8:$D$42))+1,""),ROW()-18)),"")</f>
        <v>https://elecciones.comunidad.madrid/es/informacion-electoral/calendario-electoral</v>
      </c>
      <c r="D22" s="99" t="s">
        <v>174</v>
      </c>
      <c r="E22" s="79" t="str">
        <f t="shared" si="0"/>
        <v/>
      </c>
      <c r="F22" s="18"/>
      <c r="G22" s="18"/>
      <c r="H22" s="18"/>
      <c r="I22" s="18"/>
      <c r="K22" s="170" t="s">
        <v>185</v>
      </c>
      <c r="L22" s="92" t="s">
        <v>187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Direcciones y teléfonos</v>
      </c>
      <c r="C23" s="85" t="str" cm="1">
        <f t="array" ref="C23">IFERROR(INDEX('03.Muestra'!$F$8:$F$42,SMALL(IF("Página Web"='03.Muestra'!$D$8:$D$42,ROW('03.Muestra'!$F$8:$F$42)-MIN(ROW('03.Muestra'!$D$8:$D$42))+1,""),ROW()-18)),"")</f>
        <v>https://elecciones.comunidad.madrid/es/juntas-electorales/direcciones-telefonos</v>
      </c>
      <c r="D23" s="99" t="s">
        <v>174</v>
      </c>
      <c r="E23" s="79" t="str">
        <f t="shared" si="0"/>
        <v/>
      </c>
      <c r="F23" s="78"/>
      <c r="G23" s="18"/>
      <c r="H23" s="18"/>
      <c r="I23" s="18"/>
      <c r="K23" s="88" t="s">
        <v>184</v>
      </c>
      <c r="L23" s="92" t="s">
        <v>188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Impresos electrónicos</v>
      </c>
      <c r="C24" s="85" t="str" cm="1">
        <f t="array" ref="C24">IFERROR(INDEX('03.Muestra'!$F$8:$F$42,SMALL(IF("Página Web"='03.Muestra'!$D$8:$D$42,ROW('03.Muestra'!$F$8:$F$42)-MIN(ROW('03.Muestra'!$D$8:$D$42))+1,""),ROW()-18)),"")</f>
        <v>https://elecciones.comunidad.madrid/es/formaciones-politicas/impresos-electronicos</v>
      </c>
      <c r="D24" s="99" t="s">
        <v>174</v>
      </c>
      <c r="E24" s="79" t="str">
        <f t="shared" si="0"/>
        <v/>
      </c>
      <c r="F24" s="18"/>
      <c r="G24" s="18"/>
      <c r="H24" s="18"/>
      <c r="I24" s="18"/>
      <c r="K24" s="87" t="s">
        <v>186</v>
      </c>
      <c r="L24" s="92" t="s">
        <v>189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Listado de candidaturas</v>
      </c>
      <c r="C25" s="85" t="str" cm="1">
        <f t="array" ref="C25">IFERROR(INDEX('03.Muestra'!$F$8:$F$42,SMALL(IF("Página Web"='03.Muestra'!$D$8:$D$42,ROW('03.Muestra'!$F$8:$F$42)-MIN(ROW('03.Muestra'!$D$8:$D$42))+1,""),ROW()-18)),"")</f>
        <v>https://elecciones.comunidad.madrid/es/formaciones-politicas/listado-candidaturas-proclamadas</v>
      </c>
      <c r="D25" s="99" t="s">
        <v>174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Partido Feminista de España</v>
      </c>
      <c r="C26" s="85" t="str" cm="1">
        <f t="array" ref="C26">IFERROR(INDEX('03.Muestra'!$F$8:$F$42,SMALL(IF("Página Web"='03.Muestra'!$D$8:$D$42,ROW('03.Muestra'!$F$8:$F$42)-MIN(ROW('03.Muestra'!$D$8:$D$42))+1,""),ROW()-18)),"")</f>
        <v>https://elecciones.comunidad.madrid/es/formaciones-politicas/listado-candidaturas/partido-feminista-espana</v>
      </c>
      <c r="D26" s="99" t="s">
        <v>174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¿Dónde voto?</v>
      </c>
      <c r="C27" s="85" t="str" cm="1">
        <f t="array" ref="C27">IFERROR(INDEX('03.Muestra'!$F$8:$F$42,SMALL(IF("Página Web"='03.Muestra'!$D$8:$D$42,ROW('03.Muestra'!$F$8:$F$42)-MIN(ROW('03.Muestra'!$D$8:$D$42))+1,""),ROW()-18)),"")</f>
        <v>https://elecciones.comunidad.madrid/es/votar/donde-voto</v>
      </c>
      <c r="D27" s="99" t="s">
        <v>174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Voto presencial</v>
      </c>
      <c r="C28" s="85" t="str" cm="1">
        <f t="array" ref="C28">IFERROR(INDEX('03.Muestra'!$F$8:$F$42,SMALL(IF("Página Web"='03.Muestra'!$D$8:$D$42,ROW('03.Muestra'!$F$8:$F$42)-MIN(ROW('03.Muestra'!$D$8:$D$42))+1,""),ROW()-18)),"")</f>
        <v>https://elecciones.comunidad.madrid/es/voto-local-electoral/voto-presencial</v>
      </c>
      <c r="D28" s="99" t="s">
        <v>174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Ciudadanos temporalmente en el extranjero</v>
      </c>
      <c r="C29" s="85" t="str" cm="1">
        <f t="array" ref="C29">IFERROR(INDEX('03.Muestra'!$F$8:$F$42,SMALL(IF("Página Web"='03.Muestra'!$D$8:$D$42,ROW('03.Muestra'!$F$8:$F$42)-MIN(ROW('03.Muestra'!$D$8:$D$42))+1,""),ROW()-18)),"")</f>
        <v>https://elecciones.comunidad.madrid/es/voto-correo/solicitud-voto-temporalmente-ausentes</v>
      </c>
      <c r="D29" s="99" t="s">
        <v>174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Nuevo votante</v>
      </c>
      <c r="C30" s="85" t="str" cm="1">
        <f t="array" ref="C30">IFERROR(INDEX('03.Muestra'!$F$8:$F$42,SMALL(IF("Página Web"='03.Muestra'!$D$8:$D$42,ROW('03.Muestra'!$F$8:$F$42)-MIN(ROW('03.Muestra'!$D$8:$D$42))+1,""),ROW()-18)),"")</f>
        <v>https://elecciones.comunidad.madrid/es/votar/nuevo-votante</v>
      </c>
      <c r="D30" s="99" t="s">
        <v>174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Simulación método D'Hondt</v>
      </c>
      <c r="C31" s="85" t="str" cm="1">
        <f t="array" ref="C31">IFERROR(INDEX('03.Muestra'!$F$8:$F$42,SMALL(IF("Página Web"='03.Muestra'!$D$8:$D$42,ROW('03.Muestra'!$F$8:$F$42)-MIN(ROW('03.Muestra'!$D$8:$D$42))+1,""),ROW()-18)),"")</f>
        <v>https://elecciones.comunidad.madrid/es/informacion-util/simulacion-metodo-dhondt</v>
      </c>
      <c r="D31" s="99" t="s">
        <v>174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Ley D'Hondt</v>
      </c>
      <c r="C32" s="85" t="str" cm="1">
        <f t="array" ref="C32">IFERROR(INDEX('03.Muestra'!$F$8:$F$42,SMALL(IF("Página Web"='03.Muestra'!$D$8:$D$42,ROW('03.Muestra'!$F$8:$F$42)-MIN(ROW('03.Muestra'!$D$8:$D$42))+1,""),ROW()-18)),"")</f>
        <v>https://elecciones.comunidad.madrid/es/resultados/ley_d_hondt</v>
      </c>
      <c r="D32" s="99" t="s">
        <v>174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Voto por correo elector CERA en España</v>
      </c>
      <c r="C33" s="85" t="str" cm="1">
        <f t="array" ref="C33">IFERROR(INDEX('03.Muestra'!$F$8:$F$42,SMALL(IF("Página Web"='03.Muestra'!$D$8:$D$42,ROW('03.Muestra'!$F$8:$F$42)-MIN(ROW('03.Muestra'!$D$8:$D$42))+1,""),ROW()-18)),"")</f>
        <v>https://elecciones.comunidad.madrid/es/preguntas-frecuentes/voto-correo-electores-residentes-extranjero</v>
      </c>
      <c r="D33" s="99" t="s">
        <v>174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https://elecciones.comunidad.madrid/es/buzon-de-sugerencias</v>
      </c>
      <c r="D34" s="99" t="s">
        <v>174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https://elecciones.comunidad.madrid/es/search?search_api_fulltext=partido</v>
      </c>
      <c r="D35" s="99" t="s">
        <v>174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Legal-Privacidad</v>
      </c>
      <c r="C36" s="85" t="str" cm="1">
        <f t="array" ref="C36">IFERROR(INDEX('03.Muestra'!$F$8:$F$42,SMALL(IF("Página Web"='03.Muestra'!$D$8:$D$42,ROW('03.Muestra'!$F$8:$F$42)-MIN(ROW('03.Muestra'!$D$8:$D$42))+1,""),ROW()-18)),"")</f>
        <v>https://elecciones.comunidad.madrid/es/aviso-legal</v>
      </c>
      <c r="D36" s="99" t="s">
        <v>174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https://elecciones.comunidad.madrid/es/sitemap</v>
      </c>
      <c r="D37" s="99" t="s">
        <v>174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Declaracion Accesibilidad</v>
      </c>
      <c r="C38" s="85" t="str" cm="1">
        <f t="array" ref="C38">IFERROR(INDEX('03.Muestra'!$F$8:$F$42,SMALL(IF("Página Web"='03.Muestra'!$D$8:$D$42,ROW('03.Muestra'!$F$8:$F$42)-MIN(ROW('03.Muestra'!$D$8:$D$42))+1,""),ROW()-18)),"")</f>
        <v>https://elecciones.comunidad.madrid/es/accesibilidad</v>
      </c>
      <c r="D38" s="99" t="s">
        <v>174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181</v>
      </c>
      <c r="B56" s="23" t="s">
        <v>173</v>
      </c>
      <c r="C56" s="24" t="s">
        <v>225</v>
      </c>
      <c r="D56" s="25" t="s">
        <v>183</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https://elecciones.comunidad.madrid/es</v>
      </c>
      <c r="D57" s="99" t="s">
        <v>184</v>
      </c>
      <c r="E57" s="79" t="str">
        <f t="shared" ref="E57:E91" si="2">IF(D57&lt;&gt;"",IF(AND(B57&lt;&gt;"",C57&lt;&gt;""),"","ERR"),"")</f>
        <v/>
      </c>
      <c r="F57" s="86" t="s">
        <v>185</v>
      </c>
      <c r="G57" s="87" t="s">
        <v>186</v>
      </c>
      <c r="H57" s="88" t="s">
        <v>184</v>
      </c>
      <c r="I57" s="89" t="s">
        <v>176</v>
      </c>
      <c r="J57" s="90" t="s">
        <v>174</v>
      </c>
      <c r="K57" s="179" t="s">
        <v>180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Resultado Elecciones 28M 2023</v>
      </c>
      <c r="C58" s="85" t="str" cm="1">
        <f t="array" ref="C58">IFERROR(INDEX('03.Muestra'!$F$8:$F$42,SMALL(IF("Página Web"='03.Muestra'!$D$8:$D$42,ROW('03.Muestra'!$F$8:$F$42)-MIN(ROW('03.Muestra'!$D$8:$D$42))+1,""),ROW()-56)),"")</f>
        <v>https://elecciones.comunidad.madrid/es/resultados-elecciones-asamblea-madrid-28m-2023</v>
      </c>
      <c r="D58" s="99" t="s">
        <v>184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Normativa electoral</v>
      </c>
      <c r="C59" s="85" t="str" cm="1">
        <f t="array" ref="C59">IFERROR(INDEX('03.Muestra'!$F$8:$F$42,SMALL(IF("Página Web"='03.Muestra'!$D$8:$D$42,ROW('03.Muestra'!$F$8:$F$42)-MIN(ROW('03.Muestra'!$D$8:$D$42))+1,""),ROW()-56)),"")</f>
        <v>https://elecciones.comunidad.madrid/es/informacion-electoral/normativa-electoral</v>
      </c>
      <c r="D59" s="99" t="s">
        <v>184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 electoral</v>
      </c>
      <c r="C60" s="85" t="str" cm="1">
        <f t="array" ref="C60">IFERROR(INDEX('03.Muestra'!$F$8:$F$42,SMALL(IF("Página Web"='03.Muestra'!$D$8:$D$42,ROW('03.Muestra'!$F$8:$F$42)-MIN(ROW('03.Muestra'!$D$8:$D$42))+1,""),ROW()-56)),"")</f>
        <v>https://elecciones.comunidad.madrid/es/informacion-electoral/calendario-electoral</v>
      </c>
      <c r="D60" s="99" t="s">
        <v>184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Direcciones y teléfonos</v>
      </c>
      <c r="C61" s="85" t="str" cm="1">
        <f t="array" ref="C61">IFERROR(INDEX('03.Muestra'!$F$8:$F$42,SMALL(IF("Página Web"='03.Muestra'!$D$8:$D$42,ROW('03.Muestra'!$F$8:$F$42)-MIN(ROW('03.Muestra'!$D$8:$D$42))+1,""),ROW()-56)),"")</f>
        <v>https://elecciones.comunidad.madrid/es/juntas-electorales/direcciones-telefonos</v>
      </c>
      <c r="D61" s="99" t="s">
        <v>184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Impresos electrónicos</v>
      </c>
      <c r="C62" s="85" t="str" cm="1">
        <f t="array" ref="C62">IFERROR(INDEX('03.Muestra'!$F$8:$F$42,SMALL(IF("Página Web"='03.Muestra'!$D$8:$D$42,ROW('03.Muestra'!$F$8:$F$42)-MIN(ROW('03.Muestra'!$D$8:$D$42))+1,""),ROW()-56)),"")</f>
        <v>https://elecciones.comunidad.madrid/es/formaciones-politicas/impresos-electronicos</v>
      </c>
      <c r="D62" s="99" t="s">
        <v>184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Listado de candidaturas</v>
      </c>
      <c r="C63" s="85" t="str" cm="1">
        <f t="array" ref="C63">IFERROR(INDEX('03.Muestra'!$F$8:$F$42,SMALL(IF("Página Web"='03.Muestra'!$D$8:$D$42,ROW('03.Muestra'!$F$8:$F$42)-MIN(ROW('03.Muestra'!$D$8:$D$42))+1,""),ROW()-56)),"")</f>
        <v>https://elecciones.comunidad.madrid/es/formaciones-politicas/listado-candidaturas-proclamadas</v>
      </c>
      <c r="D63" s="99" t="s">
        <v>184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Partido Feminista de España</v>
      </c>
      <c r="C64" s="85" t="str" cm="1">
        <f t="array" ref="C64">IFERROR(INDEX('03.Muestra'!$F$8:$F$42,SMALL(IF("Página Web"='03.Muestra'!$D$8:$D$42,ROW('03.Muestra'!$F$8:$F$42)-MIN(ROW('03.Muestra'!$D$8:$D$42))+1,""),ROW()-56)),"")</f>
        <v>https://elecciones.comunidad.madrid/es/formaciones-politicas/listado-candidaturas/partido-feminista-espana</v>
      </c>
      <c r="D64" s="99" t="s">
        <v>184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¿Dónde voto?</v>
      </c>
      <c r="C65" s="85" t="str" cm="1">
        <f t="array" ref="C65">IFERROR(INDEX('03.Muestra'!$F$8:$F$42,SMALL(IF("Página Web"='03.Muestra'!$D$8:$D$42,ROW('03.Muestra'!$F$8:$F$42)-MIN(ROW('03.Muestra'!$D$8:$D$42))+1,""),ROW()-56)),"")</f>
        <v>https://elecciones.comunidad.madrid/es/votar/donde-voto</v>
      </c>
      <c r="D65" s="99" t="s">
        <v>184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Voto presencial</v>
      </c>
      <c r="C66" s="85" t="str" cm="1">
        <f t="array" ref="C66">IFERROR(INDEX('03.Muestra'!$F$8:$F$42,SMALL(IF("Página Web"='03.Muestra'!$D$8:$D$42,ROW('03.Muestra'!$F$8:$F$42)-MIN(ROW('03.Muestra'!$D$8:$D$42))+1,""),ROW()-56)),"")</f>
        <v>https://elecciones.comunidad.madrid/es/voto-local-electoral/voto-presencial</v>
      </c>
      <c r="D66" s="99" t="s">
        <v>184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Ciudadanos temporalmente en el extranjero</v>
      </c>
      <c r="C67" s="85" t="str" cm="1">
        <f t="array" ref="C67">IFERROR(INDEX('03.Muestra'!$F$8:$F$42,SMALL(IF("Página Web"='03.Muestra'!$D$8:$D$42,ROW('03.Muestra'!$F$8:$F$42)-MIN(ROW('03.Muestra'!$D$8:$D$42))+1,""),ROW()-56)),"")</f>
        <v>https://elecciones.comunidad.madrid/es/voto-correo/solicitud-voto-temporalmente-ausentes</v>
      </c>
      <c r="D67" s="99" t="s">
        <v>184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Nuevo votante</v>
      </c>
      <c r="C68" s="85" t="str" cm="1">
        <f t="array" ref="C68">IFERROR(INDEX('03.Muestra'!$F$8:$F$42,SMALL(IF("Página Web"='03.Muestra'!$D$8:$D$42,ROW('03.Muestra'!$F$8:$F$42)-MIN(ROW('03.Muestra'!$D$8:$D$42))+1,""),ROW()-56)),"")</f>
        <v>https://elecciones.comunidad.madrid/es/votar/nuevo-votante</v>
      </c>
      <c r="D68" s="99" t="s">
        <v>184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Simulación método D'Hondt</v>
      </c>
      <c r="C69" s="85" t="str" cm="1">
        <f t="array" ref="C69">IFERROR(INDEX('03.Muestra'!$F$8:$F$42,SMALL(IF("Página Web"='03.Muestra'!$D$8:$D$42,ROW('03.Muestra'!$F$8:$F$42)-MIN(ROW('03.Muestra'!$D$8:$D$42))+1,""),ROW()-56)),"")</f>
        <v>https://elecciones.comunidad.madrid/es/informacion-util/simulacion-metodo-dhondt</v>
      </c>
      <c r="D69" s="99" t="s">
        <v>184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Ley D'Hondt</v>
      </c>
      <c r="C70" s="85" t="str" cm="1">
        <f t="array" ref="C70">IFERROR(INDEX('03.Muestra'!$F$8:$F$42,SMALL(IF("Página Web"='03.Muestra'!$D$8:$D$42,ROW('03.Muestra'!$F$8:$F$42)-MIN(ROW('03.Muestra'!$D$8:$D$42))+1,""),ROW()-56)),"")</f>
        <v>https://elecciones.comunidad.madrid/es/resultados/ley_d_hondt</v>
      </c>
      <c r="D70" s="99" t="s">
        <v>184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Voto por correo elector CERA en España</v>
      </c>
      <c r="C71" s="85" t="str" cm="1">
        <f t="array" ref="C71">IFERROR(INDEX('03.Muestra'!$F$8:$F$42,SMALL(IF("Página Web"='03.Muestra'!$D$8:$D$42,ROW('03.Muestra'!$F$8:$F$42)-MIN(ROW('03.Muestra'!$D$8:$D$42))+1,""),ROW()-56)),"")</f>
        <v>https://elecciones.comunidad.madrid/es/preguntas-frecuentes/voto-correo-electores-residentes-extranjero</v>
      </c>
      <c r="D71" s="99" t="s">
        <v>184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https://elecciones.comunidad.madrid/es/buzon-de-sugerencias</v>
      </c>
      <c r="D72" s="99" t="s">
        <v>184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https://elecciones.comunidad.madrid/es/search?search_api_fulltext=partido</v>
      </c>
      <c r="D73" s="99" t="s">
        <v>184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Legal-Privacidad</v>
      </c>
      <c r="C74" s="85" t="str" cm="1">
        <f t="array" ref="C74">IFERROR(INDEX('03.Muestra'!$F$8:$F$42,SMALL(IF("Página Web"='03.Muestra'!$D$8:$D$42,ROW('03.Muestra'!$F$8:$F$42)-MIN(ROW('03.Muestra'!$D$8:$D$42))+1,""),ROW()-56)),"")</f>
        <v>https://elecciones.comunidad.madrid/es/aviso-legal</v>
      </c>
      <c r="D74" s="99" t="s">
        <v>184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https://elecciones.comunidad.madrid/es/sitemap</v>
      </c>
      <c r="D75" s="99" t="s">
        <v>184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Declaracion Accesibilidad</v>
      </c>
      <c r="C76" s="85" t="str" cm="1">
        <f t="array" ref="C76">IFERROR(INDEX('03.Muestra'!$F$8:$F$42,SMALL(IF("Página Web"='03.Muestra'!$D$8:$D$42,ROW('03.Muestra'!$F$8:$F$42)-MIN(ROW('03.Muestra'!$D$8:$D$42))+1,""),ROW()-56)),"")</f>
        <v>https://elecciones.comunidad.madrid/es/accesibilidad</v>
      </c>
      <c r="D76" s="99" t="s">
        <v>184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181</v>
      </c>
      <c r="B94" s="23" t="s">
        <v>173</v>
      </c>
      <c r="C94" s="24" t="s">
        <v>226</v>
      </c>
      <c r="D94" s="25" t="s">
        <v>183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https://elecciones.comunidad.madrid/es</v>
      </c>
      <c r="D95" s="211" t="s">
        <v>176</v>
      </c>
      <c r="E95" s="79" t="str">
        <f t="shared" ref="E95:E129" si="4">IF(D95&lt;&gt;"",IF(AND(B95&lt;&gt;"",C95&lt;&gt;""),"","ERR"),"")</f>
        <v/>
      </c>
      <c r="F95" s="86" t="s">
        <v>185</v>
      </c>
      <c r="G95" s="87" t="s">
        <v>186</v>
      </c>
      <c r="H95" s="88" t="s">
        <v>184</v>
      </c>
      <c r="I95" s="89" t="s">
        <v>176</v>
      </c>
      <c r="J95" s="90" t="s">
        <v>174</v>
      </c>
      <c r="K95" s="179" t="s">
        <v>180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Resultado Elecciones 28M 2023</v>
      </c>
      <c r="C96" s="85" t="str" cm="1">
        <f t="array" ref="C96">IFERROR(INDEX('03.Muestra'!$F$8:$F$42,SMALL(IF("Página Web"='03.Muestra'!$D$8:$D$42,ROW('03.Muestra'!$F$8:$F$42)-MIN(ROW('03.Muestra'!$D$8:$D$42))+1,""),ROW()-94)),"")</f>
        <v>https://elecciones.comunidad.madrid/es/resultados-elecciones-asamblea-madrid-28m-2023</v>
      </c>
      <c r="D96" s="99" t="s">
        <v>184</v>
      </c>
      <c r="E96" s="79" t="str">
        <f t="shared" si="4"/>
        <v/>
      </c>
      <c r="F96" s="91">
        <f ca="1">COUNTIF($D95:INDIRECT("$D" &amp;  SUM(ROW()-1,'03.Muestra'!$D$45)-1),F95)</f>
        <v>0</v>
      </c>
      <c r="G96" s="91">
        <f ca="1">COUNTIF($D95:INDIRECT("$D" &amp;  SUM(ROW()-1,'03.Muestra'!$D$45)-1),G95)</f>
        <v>0</v>
      </c>
      <c r="H96" s="91">
        <f ca="1">COUNTIF($D95:INDIRECT("$D" &amp;  SUM(ROW()-1,'03.Muestra'!$D$45)-1),H95)</f>
        <v>16</v>
      </c>
      <c r="I96" s="91">
        <f ca="1">COUNTIF($D95:INDIRECT("$D" &amp;  SUM(ROW()-1,'03.Muestra'!$D$45)-1),I95)</f>
        <v>1</v>
      </c>
      <c r="J96" s="91">
        <f ca="1">COUNTIF($D95:INDIRECT("$D" &amp;  SUM(ROW()-1,'03.Muestra'!$D$45)-1),J95)</f>
        <v>3</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Normativa electoral</v>
      </c>
      <c r="C97" s="85" t="str" cm="1">
        <f t="array" ref="C97">IFERROR(INDEX('03.Muestra'!$F$8:$F$42,SMALL(IF("Página Web"='03.Muestra'!$D$8:$D$42,ROW('03.Muestra'!$F$8:$F$42)-MIN(ROW('03.Muestra'!$D$8:$D$42))+1,""),ROW()-94)),"")</f>
        <v>https://elecciones.comunidad.madrid/es/informacion-electoral/normativa-electoral</v>
      </c>
      <c r="D97" s="99" t="s">
        <v>184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 electoral</v>
      </c>
      <c r="C98" s="85" t="str" cm="1">
        <f t="array" ref="C98">IFERROR(INDEX('03.Muestra'!$F$8:$F$42,SMALL(IF("Página Web"='03.Muestra'!$D$8:$D$42,ROW('03.Muestra'!$F$8:$F$42)-MIN(ROW('03.Muestra'!$D$8:$D$42))+1,""),ROW()-94)),"")</f>
        <v>https://elecciones.comunidad.madrid/es/informacion-electoral/calendario-electoral</v>
      </c>
      <c r="D98" s="99" t="s">
        <v>184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Direcciones y teléfonos</v>
      </c>
      <c r="C99" s="85" t="str" cm="1">
        <f t="array" ref="C99">IFERROR(INDEX('03.Muestra'!$F$8:$F$42,SMALL(IF("Página Web"='03.Muestra'!$D$8:$D$42,ROW('03.Muestra'!$F$8:$F$42)-MIN(ROW('03.Muestra'!$D$8:$D$42))+1,""),ROW()-94)),"")</f>
        <v>https://elecciones.comunidad.madrid/es/juntas-electorales/direcciones-telefonos</v>
      </c>
      <c r="D99" s="99" t="s">
        <v>184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Impresos electrónicos</v>
      </c>
      <c r="C100" s="85" t="str" cm="1">
        <f t="array" ref="C100">IFERROR(INDEX('03.Muestra'!$F$8:$F$42,SMALL(IF("Página Web"='03.Muestra'!$D$8:$D$42,ROW('03.Muestra'!$F$8:$F$42)-MIN(ROW('03.Muestra'!$D$8:$D$42))+1,""),ROW()-94)),"")</f>
        <v>https://elecciones.comunidad.madrid/es/formaciones-politicas/impresos-electronicos</v>
      </c>
      <c r="D100" s="99" t="s">
        <v>184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Listado de candidaturas</v>
      </c>
      <c r="C101" s="85" t="str" cm="1">
        <f t="array" ref="C101">IFERROR(INDEX('03.Muestra'!$F$8:$F$42,SMALL(IF("Página Web"='03.Muestra'!$D$8:$D$42,ROW('03.Muestra'!$F$8:$F$42)-MIN(ROW('03.Muestra'!$D$8:$D$42))+1,""),ROW()-94)),"")</f>
        <v>https://elecciones.comunidad.madrid/es/formaciones-politicas/listado-candidaturas-proclamadas</v>
      </c>
      <c r="D101" s="99" t="s">
        <v>184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Partido Feminista de España</v>
      </c>
      <c r="C102" s="85" t="str" cm="1">
        <f t="array" ref="C102">IFERROR(INDEX('03.Muestra'!$F$8:$F$42,SMALL(IF("Página Web"='03.Muestra'!$D$8:$D$42,ROW('03.Muestra'!$F$8:$F$42)-MIN(ROW('03.Muestra'!$D$8:$D$42))+1,""),ROW()-94)),"")</f>
        <v>https://elecciones.comunidad.madrid/es/formaciones-politicas/listado-candidaturas/partido-feminista-espana</v>
      </c>
      <c r="D102" s="99" t="s">
        <v>184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¿Dónde voto?</v>
      </c>
      <c r="C103" s="85" t="str" cm="1">
        <f t="array" ref="C103">IFERROR(INDEX('03.Muestra'!$F$8:$F$42,SMALL(IF("Página Web"='03.Muestra'!$D$8:$D$42,ROW('03.Muestra'!$F$8:$F$42)-MIN(ROW('03.Muestra'!$D$8:$D$42))+1,""),ROW()-94)),"")</f>
        <v>https://elecciones.comunidad.madrid/es/votar/donde-voto</v>
      </c>
      <c r="D103" s="99" t="s">
        <v>184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Voto presencial</v>
      </c>
      <c r="C104" s="85" t="str" cm="1">
        <f t="array" ref="C104">IFERROR(INDEX('03.Muestra'!$F$8:$F$42,SMALL(IF("Página Web"='03.Muestra'!$D$8:$D$42,ROW('03.Muestra'!$F$8:$F$42)-MIN(ROW('03.Muestra'!$D$8:$D$42))+1,""),ROW()-94)),"")</f>
        <v>https://elecciones.comunidad.madrid/es/voto-local-electoral/voto-presencial</v>
      </c>
      <c r="D104" s="99" t="s">
        <v>174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Ciudadanos temporalmente en el extranjero</v>
      </c>
      <c r="C105" s="85" t="str" cm="1">
        <f t="array" ref="C105">IFERROR(INDEX('03.Muestra'!$F$8:$F$42,SMALL(IF("Página Web"='03.Muestra'!$D$8:$D$42,ROW('03.Muestra'!$F$8:$F$42)-MIN(ROW('03.Muestra'!$D$8:$D$42))+1,""),ROW()-94)),"")</f>
        <v>https://elecciones.comunidad.madrid/es/voto-correo/solicitud-voto-temporalmente-ausentes</v>
      </c>
      <c r="D105" s="99" t="s">
        <v>174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Nuevo votante</v>
      </c>
      <c r="C106" s="85" t="str" cm="1">
        <f t="array" ref="C106">IFERROR(INDEX('03.Muestra'!$F$8:$F$42,SMALL(IF("Página Web"='03.Muestra'!$D$8:$D$42,ROW('03.Muestra'!$F$8:$F$42)-MIN(ROW('03.Muestra'!$D$8:$D$42))+1,""),ROW()-94)),"")</f>
        <v>https://elecciones.comunidad.madrid/es/votar/nuevo-votante</v>
      </c>
      <c r="D106" s="99" t="s">
        <v>174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Simulación método D'Hondt</v>
      </c>
      <c r="C107" s="85" t="str" cm="1">
        <f t="array" ref="C107">IFERROR(INDEX('03.Muestra'!$F$8:$F$42,SMALL(IF("Página Web"='03.Muestra'!$D$8:$D$42,ROW('03.Muestra'!$F$8:$F$42)-MIN(ROW('03.Muestra'!$D$8:$D$42))+1,""),ROW()-94)),"")</f>
        <v>https://elecciones.comunidad.madrid/es/informacion-util/simulacion-metodo-dhondt</v>
      </c>
      <c r="D107" s="99" t="s">
        <v>184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Ley D'Hondt</v>
      </c>
      <c r="C108" s="85" t="str" cm="1">
        <f t="array" ref="C108">IFERROR(INDEX('03.Muestra'!$F$8:$F$42,SMALL(IF("Página Web"='03.Muestra'!$D$8:$D$42,ROW('03.Muestra'!$F$8:$F$42)-MIN(ROW('03.Muestra'!$D$8:$D$42))+1,""),ROW()-94)),"")</f>
        <v>https://elecciones.comunidad.madrid/es/resultados/ley_d_hondt</v>
      </c>
      <c r="D108" s="99" t="s">
        <v>184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Voto por correo elector CERA en España</v>
      </c>
      <c r="C109" s="85" t="str" cm="1">
        <f t="array" ref="C109">IFERROR(INDEX('03.Muestra'!$F$8:$F$42,SMALL(IF("Página Web"='03.Muestra'!$D$8:$D$42,ROW('03.Muestra'!$F$8:$F$42)-MIN(ROW('03.Muestra'!$D$8:$D$42))+1,""),ROW()-94)),"")</f>
        <v>https://elecciones.comunidad.madrid/es/preguntas-frecuentes/voto-correo-electores-residentes-extranjero</v>
      </c>
      <c r="D109" s="99" t="s">
        <v>184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https://elecciones.comunidad.madrid/es/buzon-de-sugerencias</v>
      </c>
      <c r="D110" s="99" t="s">
        <v>184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https://elecciones.comunidad.madrid/es/search?search_api_fulltext=partido</v>
      </c>
      <c r="D111" s="99" t="s">
        <v>184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Legal-Privacidad</v>
      </c>
      <c r="C112" s="85" t="str" cm="1">
        <f t="array" ref="C112">IFERROR(INDEX('03.Muestra'!$F$8:$F$42,SMALL(IF("Página Web"='03.Muestra'!$D$8:$D$42,ROW('03.Muestra'!$F$8:$F$42)-MIN(ROW('03.Muestra'!$D$8:$D$42))+1,""),ROW()-94)),"")</f>
        <v>https://elecciones.comunidad.madrid/es/aviso-legal</v>
      </c>
      <c r="D112" s="99" t="s">
        <v>184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https://elecciones.comunidad.madrid/es/sitemap</v>
      </c>
      <c r="D113" s="99" t="s">
        <v>184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Declaracion Accesibilidad</v>
      </c>
      <c r="C114" s="85" t="str" cm="1">
        <f t="array" ref="C114">IFERROR(INDEX('03.Muestra'!$F$8:$F$42,SMALL(IF("Página Web"='03.Muestra'!$D$8:$D$42,ROW('03.Muestra'!$F$8:$F$42)-MIN(ROW('03.Muestra'!$D$8:$D$42))+1,""),ROW()-94)),"")</f>
        <v>https://elecciones.comunidad.madrid/es/accesibilidad</v>
      </c>
      <c r="D114" s="99" t="s">
        <v>184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181</v>
      </c>
      <c r="B132" s="23" t="s">
        <v>173</v>
      </c>
      <c r="C132" s="24" t="s">
        <v>227</v>
      </c>
      <c r="D132" s="25" t="s">
        <v>183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https://elecciones.comunidad.madrid/es</v>
      </c>
      <c r="D133" s="99" t="s">
        <v>176</v>
      </c>
      <c r="E133" s="79" t="str">
        <f t="shared" ref="E133:E167" si="6">IF(D133&lt;&gt;"",IF(AND(B133&lt;&gt;"",C133&lt;&gt;""),"","ERR"),"")</f>
        <v/>
      </c>
      <c r="F133" s="86" t="s">
        <v>185</v>
      </c>
      <c r="G133" s="87" t="s">
        <v>186</v>
      </c>
      <c r="H133" s="88" t="s">
        <v>184</v>
      </c>
      <c r="I133" s="89" t="s">
        <v>176</v>
      </c>
      <c r="J133" s="90" t="s">
        <v>174</v>
      </c>
      <c r="K133" s="179" t="s">
        <v>180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Resultado Elecciones 28M 2023</v>
      </c>
      <c r="C134" s="85" t="str" cm="1">
        <f t="array" ref="C134">IFERROR(INDEX('03.Muestra'!$F$8:$F$42,SMALL(IF("Página Web"='03.Muestra'!$D$8:$D$42,ROW('03.Muestra'!$F$8:$F$42)-MIN(ROW('03.Muestra'!$D$8:$D$42))+1,""),ROW()-132)),"")</f>
        <v>https://elecciones.comunidad.madrid/es/resultados-elecciones-asamblea-madrid-28m-2023</v>
      </c>
      <c r="D134" s="99" t="s">
        <v>184</v>
      </c>
      <c r="E134" s="79" t="str">
        <f t="shared" si="6"/>
        <v/>
      </c>
      <c r="F134" s="91">
        <f ca="1">COUNTIF($D133:INDIRECT("$D" &amp;  SUM(ROW()-1,'03.Muestra'!$D$45)-1),F133)</f>
        <v>0</v>
      </c>
      <c r="G134" s="91">
        <f ca="1">COUNTIF($D133:INDIRECT("$D" &amp;  SUM(ROW()-1,'03.Muestra'!$D$45)-1),G133)</f>
        <v>0</v>
      </c>
      <c r="H134" s="91">
        <f ca="1">COUNTIF($D133:INDIRECT("$D" &amp;  SUM(ROW()-1,'03.Muestra'!$D$45)-1),H133)</f>
        <v>16</v>
      </c>
      <c r="I134" s="91">
        <f ca="1">COUNTIF($D133:INDIRECT("$D" &amp;  SUM(ROW()-1,'03.Muestra'!$D$45)-1),I133)</f>
        <v>4</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Normativa electoral</v>
      </c>
      <c r="C135" s="85" t="str" cm="1">
        <f t="array" ref="C135">IFERROR(INDEX('03.Muestra'!$F$8:$F$42,SMALL(IF("Página Web"='03.Muestra'!$D$8:$D$42,ROW('03.Muestra'!$F$8:$F$42)-MIN(ROW('03.Muestra'!$D$8:$D$42))+1,""),ROW()-132)),"")</f>
        <v>https://elecciones.comunidad.madrid/es/informacion-electoral/normativa-electoral</v>
      </c>
      <c r="D135" s="99" t="s">
        <v>184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 electoral</v>
      </c>
      <c r="C136" s="85" t="str" cm="1">
        <f t="array" ref="C136">IFERROR(INDEX('03.Muestra'!$F$8:$F$42,SMALL(IF("Página Web"='03.Muestra'!$D$8:$D$42,ROW('03.Muestra'!$F$8:$F$42)-MIN(ROW('03.Muestra'!$D$8:$D$42))+1,""),ROW()-132)),"")</f>
        <v>https://elecciones.comunidad.madrid/es/informacion-electoral/calendario-electoral</v>
      </c>
      <c r="D136" s="99" t="s">
        <v>184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Direcciones y teléfonos</v>
      </c>
      <c r="C137" s="85" t="str" cm="1">
        <f t="array" ref="C137">IFERROR(INDEX('03.Muestra'!$F$8:$F$42,SMALL(IF("Página Web"='03.Muestra'!$D$8:$D$42,ROW('03.Muestra'!$F$8:$F$42)-MIN(ROW('03.Muestra'!$D$8:$D$42))+1,""),ROW()-132)),"")</f>
        <v>https://elecciones.comunidad.madrid/es/juntas-electorales/direcciones-telefonos</v>
      </c>
      <c r="D137" s="99" t="s">
        <v>184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Impresos electrónicos</v>
      </c>
      <c r="C138" s="85" t="str" cm="1">
        <f t="array" ref="C138">IFERROR(INDEX('03.Muestra'!$F$8:$F$42,SMALL(IF("Página Web"='03.Muestra'!$D$8:$D$42,ROW('03.Muestra'!$F$8:$F$42)-MIN(ROW('03.Muestra'!$D$8:$D$42))+1,""),ROW()-132)),"")</f>
        <v>https://elecciones.comunidad.madrid/es/formaciones-politicas/impresos-electronicos</v>
      </c>
      <c r="D138" s="99" t="s">
        <v>184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Listado de candidaturas</v>
      </c>
      <c r="C139" s="85" t="str" cm="1">
        <f t="array" ref="C139">IFERROR(INDEX('03.Muestra'!$F$8:$F$42,SMALL(IF("Página Web"='03.Muestra'!$D$8:$D$42,ROW('03.Muestra'!$F$8:$F$42)-MIN(ROW('03.Muestra'!$D$8:$D$42))+1,""),ROW()-132)),"")</f>
        <v>https://elecciones.comunidad.madrid/es/formaciones-politicas/listado-candidaturas-proclamadas</v>
      </c>
      <c r="D139" s="99" t="s">
        <v>184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Partido Feminista de España</v>
      </c>
      <c r="C140" s="85" t="str" cm="1">
        <f t="array" ref="C140">IFERROR(INDEX('03.Muestra'!$F$8:$F$42,SMALL(IF("Página Web"='03.Muestra'!$D$8:$D$42,ROW('03.Muestra'!$F$8:$F$42)-MIN(ROW('03.Muestra'!$D$8:$D$42))+1,""),ROW()-132)),"")</f>
        <v>https://elecciones.comunidad.madrid/es/formaciones-politicas/listado-candidaturas/partido-feminista-espana</v>
      </c>
      <c r="D140" s="99" t="s">
        <v>184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¿Dónde voto?</v>
      </c>
      <c r="C141" s="85" t="str" cm="1">
        <f t="array" ref="C141">IFERROR(INDEX('03.Muestra'!$F$8:$F$42,SMALL(IF("Página Web"='03.Muestra'!$D$8:$D$42,ROW('03.Muestra'!$F$8:$F$42)-MIN(ROW('03.Muestra'!$D$8:$D$42))+1,""),ROW()-132)),"")</f>
        <v>https://elecciones.comunidad.madrid/es/votar/donde-voto</v>
      </c>
      <c r="D141" s="99" t="s">
        <v>184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Voto presencial</v>
      </c>
      <c r="C142" s="85" t="str" cm="1">
        <f t="array" ref="C142">IFERROR(INDEX('03.Muestra'!$F$8:$F$42,SMALL(IF("Página Web"='03.Muestra'!$D$8:$D$42,ROW('03.Muestra'!$F$8:$F$42)-MIN(ROW('03.Muestra'!$D$8:$D$42))+1,""),ROW()-132)),"")</f>
        <v>https://elecciones.comunidad.madrid/es/voto-local-electoral/voto-presencial</v>
      </c>
      <c r="D142" s="99" t="s">
        <v>176</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Ciudadanos temporalmente en el extranjero</v>
      </c>
      <c r="C143" s="85" t="str" cm="1">
        <f t="array" ref="C143">IFERROR(INDEX('03.Muestra'!$F$8:$F$42,SMALL(IF("Página Web"='03.Muestra'!$D$8:$D$42,ROW('03.Muestra'!$F$8:$F$42)-MIN(ROW('03.Muestra'!$D$8:$D$42))+1,""),ROW()-132)),"")</f>
        <v>https://elecciones.comunidad.madrid/es/voto-correo/solicitud-voto-temporalmente-ausentes</v>
      </c>
      <c r="D143" s="99" t="s">
        <v>176</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Nuevo votante</v>
      </c>
      <c r="C144" s="85" t="str" cm="1">
        <f t="array" ref="C144">IFERROR(INDEX('03.Muestra'!$F$8:$F$42,SMALL(IF("Página Web"='03.Muestra'!$D$8:$D$42,ROW('03.Muestra'!$F$8:$F$42)-MIN(ROW('03.Muestra'!$D$8:$D$42))+1,""),ROW()-132)),"")</f>
        <v>https://elecciones.comunidad.madrid/es/votar/nuevo-votante</v>
      </c>
      <c r="D144" s="99" t="s">
        <v>176</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Simulación método D'Hondt</v>
      </c>
      <c r="C145" s="85" t="str" cm="1">
        <f t="array" ref="C145">IFERROR(INDEX('03.Muestra'!$F$8:$F$42,SMALL(IF("Página Web"='03.Muestra'!$D$8:$D$42,ROW('03.Muestra'!$F$8:$F$42)-MIN(ROW('03.Muestra'!$D$8:$D$42))+1,""),ROW()-132)),"")</f>
        <v>https://elecciones.comunidad.madrid/es/informacion-util/simulacion-metodo-dhondt</v>
      </c>
      <c r="D145" s="99" t="s">
        <v>184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Ley D'Hondt</v>
      </c>
      <c r="C146" s="85" t="str" cm="1">
        <f t="array" ref="C146">IFERROR(INDEX('03.Muestra'!$F$8:$F$42,SMALL(IF("Página Web"='03.Muestra'!$D$8:$D$42,ROW('03.Muestra'!$F$8:$F$42)-MIN(ROW('03.Muestra'!$D$8:$D$42))+1,""),ROW()-132)),"")</f>
        <v>https://elecciones.comunidad.madrid/es/resultados/ley_d_hondt</v>
      </c>
      <c r="D146" s="99" t="s">
        <v>184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Voto por correo elector CERA en España</v>
      </c>
      <c r="C147" s="85" t="str" cm="1">
        <f t="array" ref="C147">IFERROR(INDEX('03.Muestra'!$F$8:$F$42,SMALL(IF("Página Web"='03.Muestra'!$D$8:$D$42,ROW('03.Muestra'!$F$8:$F$42)-MIN(ROW('03.Muestra'!$D$8:$D$42))+1,""),ROW()-132)),"")</f>
        <v>https://elecciones.comunidad.madrid/es/preguntas-frecuentes/voto-correo-electores-residentes-extranjero</v>
      </c>
      <c r="D147" s="99" t="s">
        <v>184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https://elecciones.comunidad.madrid/es/buzon-de-sugerencias</v>
      </c>
      <c r="D148" s="99" t="s">
        <v>184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https://elecciones.comunidad.madrid/es/search?search_api_fulltext=partido</v>
      </c>
      <c r="D149" s="99" t="s">
        <v>184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Legal-Privacidad</v>
      </c>
      <c r="C150" s="85" t="str" cm="1">
        <f t="array" ref="C150">IFERROR(INDEX('03.Muestra'!$F$8:$F$42,SMALL(IF("Página Web"='03.Muestra'!$D$8:$D$42,ROW('03.Muestra'!$F$8:$F$42)-MIN(ROW('03.Muestra'!$D$8:$D$42))+1,""),ROW()-132)),"")</f>
        <v>https://elecciones.comunidad.madrid/es/aviso-legal</v>
      </c>
      <c r="D150" s="99" t="s">
        <v>184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https://elecciones.comunidad.madrid/es/sitemap</v>
      </c>
      <c r="D151" s="99" t="s">
        <v>184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Declaracion Accesibilidad</v>
      </c>
      <c r="C152" s="85" t="str" cm="1">
        <f t="array" ref="C152">IFERROR(INDEX('03.Muestra'!$F$8:$F$42,SMALL(IF("Página Web"='03.Muestra'!$D$8:$D$42,ROW('03.Muestra'!$F$8:$F$42)-MIN(ROW('03.Muestra'!$D$8:$D$42))+1,""),ROW()-132)),"")</f>
        <v>https://elecciones.comunidad.madrid/es/accesibilidad</v>
      </c>
      <c r="D152" s="99" t="s">
        <v>184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181</v>
      </c>
      <c r="B170" s="23" t="s">
        <v>173</v>
      </c>
      <c r="C170" s="24" t="s">
        <v>228</v>
      </c>
      <c r="D170" s="25" t="s">
        <v>183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https://elecciones.comunidad.madrid/es</v>
      </c>
      <c r="D171" s="99" t="s">
        <v>176</v>
      </c>
      <c r="E171" s="79" t="str">
        <f t="shared" ref="E171:E205" si="8">IF(D171&lt;&gt;"",IF(AND(B171&lt;&gt;"",C171&lt;&gt;""),"","ERR"),"")</f>
        <v/>
      </c>
      <c r="F171" s="86" t="s">
        <v>185</v>
      </c>
      <c r="G171" s="87" t="s">
        <v>186</v>
      </c>
      <c r="H171" s="88" t="s">
        <v>184</v>
      </c>
      <c r="I171" s="89" t="s">
        <v>176</v>
      </c>
      <c r="J171" s="90" t="s">
        <v>174</v>
      </c>
      <c r="K171" s="179" t="s">
        <v>180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Resultado Elecciones 28M 2023</v>
      </c>
      <c r="C172" s="85" t="str" cm="1">
        <f t="array" ref="C172">IFERROR(INDEX('03.Muestra'!$F$8:$F$42,SMALL(IF("Página Web"='03.Muestra'!$D$8:$D$42,ROW('03.Muestra'!$F$8:$F$42)-MIN(ROW('03.Muestra'!$D$8:$D$42))+1,""),ROW()-170)),"")</f>
        <v>https://elecciones.comunidad.madrid/es/resultados-elecciones-asamblea-madrid-28m-2023</v>
      </c>
      <c r="D172" s="99" t="s">
        <v>184</v>
      </c>
      <c r="E172" s="79" t="str">
        <f t="shared" si="8"/>
        <v/>
      </c>
      <c r="F172" s="91">
        <f ca="1">COUNTIF($D171:INDIRECT("$D" &amp;  SUM(ROW()-1,'03.Muestra'!$D$45)-1),F171)</f>
        <v>0</v>
      </c>
      <c r="G172" s="91">
        <f ca="1">COUNTIF($D171:INDIRECT("$D" &amp;  SUM(ROW()-1,'03.Muestra'!$D$45)-1),G171)</f>
        <v>0</v>
      </c>
      <c r="H172" s="91">
        <f ca="1">COUNTIF($D171:INDIRECT("$D" &amp;  SUM(ROW()-1,'03.Muestra'!$D$45)-1),H171)</f>
        <v>16</v>
      </c>
      <c r="I172" s="91">
        <f ca="1">COUNTIF($D171:INDIRECT("$D" &amp;  SUM(ROW()-1,'03.Muestra'!$D$45)-1),I171)</f>
        <v>4</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Normativa electoral</v>
      </c>
      <c r="C173" s="85" t="str" cm="1">
        <f t="array" ref="C173">IFERROR(INDEX('03.Muestra'!$F$8:$F$42,SMALL(IF("Página Web"='03.Muestra'!$D$8:$D$42,ROW('03.Muestra'!$F$8:$F$42)-MIN(ROW('03.Muestra'!$D$8:$D$42))+1,""),ROW()-170)),"")</f>
        <v>https://elecciones.comunidad.madrid/es/informacion-electoral/normativa-electoral</v>
      </c>
      <c r="D173" s="99" t="s">
        <v>184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 electoral</v>
      </c>
      <c r="C174" s="85" t="str" cm="1">
        <f t="array" ref="C174">IFERROR(INDEX('03.Muestra'!$F$8:$F$42,SMALL(IF("Página Web"='03.Muestra'!$D$8:$D$42,ROW('03.Muestra'!$F$8:$F$42)-MIN(ROW('03.Muestra'!$D$8:$D$42))+1,""),ROW()-170)),"")</f>
        <v>https://elecciones.comunidad.madrid/es/informacion-electoral/calendario-electoral</v>
      </c>
      <c r="D174" s="99" t="s">
        <v>184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Direcciones y teléfonos</v>
      </c>
      <c r="C175" s="85" t="str" cm="1">
        <f t="array" ref="C175">IFERROR(INDEX('03.Muestra'!$F$8:$F$42,SMALL(IF("Página Web"='03.Muestra'!$D$8:$D$42,ROW('03.Muestra'!$F$8:$F$42)-MIN(ROW('03.Muestra'!$D$8:$D$42))+1,""),ROW()-170)),"")</f>
        <v>https://elecciones.comunidad.madrid/es/juntas-electorales/direcciones-telefonos</v>
      </c>
      <c r="D175" s="99" t="s">
        <v>184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Impresos electrónicos</v>
      </c>
      <c r="C176" s="85" t="str" cm="1">
        <f t="array" ref="C176">IFERROR(INDEX('03.Muestra'!$F$8:$F$42,SMALL(IF("Página Web"='03.Muestra'!$D$8:$D$42,ROW('03.Muestra'!$F$8:$F$42)-MIN(ROW('03.Muestra'!$D$8:$D$42))+1,""),ROW()-170)),"")</f>
        <v>https://elecciones.comunidad.madrid/es/formaciones-politicas/impresos-electronicos</v>
      </c>
      <c r="D176" s="99" t="s">
        <v>184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Listado de candidaturas</v>
      </c>
      <c r="C177" s="85" t="str" cm="1">
        <f t="array" ref="C177">IFERROR(INDEX('03.Muestra'!$F$8:$F$42,SMALL(IF("Página Web"='03.Muestra'!$D$8:$D$42,ROW('03.Muestra'!$F$8:$F$42)-MIN(ROW('03.Muestra'!$D$8:$D$42))+1,""),ROW()-170)),"")</f>
        <v>https://elecciones.comunidad.madrid/es/formaciones-politicas/listado-candidaturas-proclamadas</v>
      </c>
      <c r="D177" s="99" t="s">
        <v>184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Partido Feminista de España</v>
      </c>
      <c r="C178" s="85" t="str" cm="1">
        <f t="array" ref="C178">IFERROR(INDEX('03.Muestra'!$F$8:$F$42,SMALL(IF("Página Web"='03.Muestra'!$D$8:$D$42,ROW('03.Muestra'!$F$8:$F$42)-MIN(ROW('03.Muestra'!$D$8:$D$42))+1,""),ROW()-170)),"")</f>
        <v>https://elecciones.comunidad.madrid/es/formaciones-politicas/listado-candidaturas/partido-feminista-espana</v>
      </c>
      <c r="D178" s="99" t="s">
        <v>184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¿Dónde voto?</v>
      </c>
      <c r="C179" s="85" t="str" cm="1">
        <f t="array" ref="C179">IFERROR(INDEX('03.Muestra'!$F$8:$F$42,SMALL(IF("Página Web"='03.Muestra'!$D$8:$D$42,ROW('03.Muestra'!$F$8:$F$42)-MIN(ROW('03.Muestra'!$D$8:$D$42))+1,""),ROW()-170)),"")</f>
        <v>https://elecciones.comunidad.madrid/es/votar/donde-voto</v>
      </c>
      <c r="D179" s="99" t="s">
        <v>184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Voto presencial</v>
      </c>
      <c r="C180" s="85" t="str" cm="1">
        <f t="array" ref="C180">IFERROR(INDEX('03.Muestra'!$F$8:$F$42,SMALL(IF("Página Web"='03.Muestra'!$D$8:$D$42,ROW('03.Muestra'!$F$8:$F$42)-MIN(ROW('03.Muestra'!$D$8:$D$42))+1,""),ROW()-170)),"")</f>
        <v>https://elecciones.comunidad.madrid/es/voto-local-electoral/voto-presencial</v>
      </c>
      <c r="D180" s="99" t="s">
        <v>176</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Ciudadanos temporalmente en el extranjero</v>
      </c>
      <c r="C181" s="85" t="str" cm="1">
        <f t="array" ref="C181">IFERROR(INDEX('03.Muestra'!$F$8:$F$42,SMALL(IF("Página Web"='03.Muestra'!$D$8:$D$42,ROW('03.Muestra'!$F$8:$F$42)-MIN(ROW('03.Muestra'!$D$8:$D$42))+1,""),ROW()-170)),"")</f>
        <v>https://elecciones.comunidad.madrid/es/voto-correo/solicitud-voto-temporalmente-ausentes</v>
      </c>
      <c r="D181" s="99" t="s">
        <v>176</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Nuevo votante</v>
      </c>
      <c r="C182" s="85" t="str" cm="1">
        <f t="array" ref="C182">IFERROR(INDEX('03.Muestra'!$F$8:$F$42,SMALL(IF("Página Web"='03.Muestra'!$D$8:$D$42,ROW('03.Muestra'!$F$8:$F$42)-MIN(ROW('03.Muestra'!$D$8:$D$42))+1,""),ROW()-170)),"")</f>
        <v>https://elecciones.comunidad.madrid/es/votar/nuevo-votante</v>
      </c>
      <c r="D182" s="99" t="s">
        <v>176</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Simulación método D'Hondt</v>
      </c>
      <c r="C183" s="85" t="str" cm="1">
        <f t="array" ref="C183">IFERROR(INDEX('03.Muestra'!$F$8:$F$42,SMALL(IF("Página Web"='03.Muestra'!$D$8:$D$42,ROW('03.Muestra'!$F$8:$F$42)-MIN(ROW('03.Muestra'!$D$8:$D$42))+1,""),ROW()-170)),"")</f>
        <v>https://elecciones.comunidad.madrid/es/informacion-util/simulacion-metodo-dhondt</v>
      </c>
      <c r="D183" s="99" t="s">
        <v>184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Ley D'Hondt</v>
      </c>
      <c r="C184" s="85" t="str" cm="1">
        <f t="array" ref="C184">IFERROR(INDEX('03.Muestra'!$F$8:$F$42,SMALL(IF("Página Web"='03.Muestra'!$D$8:$D$42,ROW('03.Muestra'!$F$8:$F$42)-MIN(ROW('03.Muestra'!$D$8:$D$42))+1,""),ROW()-170)),"")</f>
        <v>https://elecciones.comunidad.madrid/es/resultados/ley_d_hondt</v>
      </c>
      <c r="D184" s="99" t="s">
        <v>184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Voto por correo elector CERA en España</v>
      </c>
      <c r="C185" s="85" t="str" cm="1">
        <f t="array" ref="C185">IFERROR(INDEX('03.Muestra'!$F$8:$F$42,SMALL(IF("Página Web"='03.Muestra'!$D$8:$D$42,ROW('03.Muestra'!$F$8:$F$42)-MIN(ROW('03.Muestra'!$D$8:$D$42))+1,""),ROW()-170)),"")</f>
        <v>https://elecciones.comunidad.madrid/es/preguntas-frecuentes/voto-correo-electores-residentes-extranjero</v>
      </c>
      <c r="D185" s="99" t="s">
        <v>184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https://elecciones.comunidad.madrid/es/buzon-de-sugerencias</v>
      </c>
      <c r="D186" s="99" t="s">
        <v>184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https://elecciones.comunidad.madrid/es/search?search_api_fulltext=partido</v>
      </c>
      <c r="D187" s="99" t="s">
        <v>184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Legal-Privacidad</v>
      </c>
      <c r="C188" s="85" t="str" cm="1">
        <f t="array" ref="C188">IFERROR(INDEX('03.Muestra'!$F$8:$F$42,SMALL(IF("Página Web"='03.Muestra'!$D$8:$D$42,ROW('03.Muestra'!$F$8:$F$42)-MIN(ROW('03.Muestra'!$D$8:$D$42))+1,""),ROW()-170)),"")</f>
        <v>https://elecciones.comunidad.madrid/es/aviso-legal</v>
      </c>
      <c r="D188" s="99" t="s">
        <v>184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https://elecciones.comunidad.madrid/es/sitemap</v>
      </c>
      <c r="D189" s="99" t="s">
        <v>184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Declaracion Accesibilidad</v>
      </c>
      <c r="C190" s="85" t="str" cm="1">
        <f t="array" ref="C190">IFERROR(INDEX('03.Muestra'!$F$8:$F$42,SMALL(IF("Página Web"='03.Muestra'!$D$8:$D$42,ROW('03.Muestra'!$F$8:$F$42)-MIN(ROW('03.Muestra'!$D$8:$D$42))+1,""),ROW()-170)),"")</f>
        <v>https://elecciones.comunidad.madrid/es/accesibilidad</v>
      </c>
      <c r="D190" s="99" t="s">
        <v>184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181</v>
      </c>
      <c r="B208" s="23" t="s">
        <v>173</v>
      </c>
      <c r="C208" s="24" t="s">
        <v>229</v>
      </c>
      <c r="D208" s="25" t="s">
        <v>183</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https://elecciones.comunidad.madrid/es</v>
      </c>
      <c r="D209" s="99" t="s">
        <v>176</v>
      </c>
      <c r="E209" s="79" t="str">
        <f t="shared" ref="E209:E243" si="10">IF(D209&lt;&gt;"",IF(AND(B209&lt;&gt;"",C209&lt;&gt;""),"","ERR"),"")</f>
        <v/>
      </c>
      <c r="F209" s="86" t="s">
        <v>185</v>
      </c>
      <c r="G209" s="87" t="s">
        <v>186</v>
      </c>
      <c r="H209" s="88" t="s">
        <v>184</v>
      </c>
      <c r="I209" s="89" t="s">
        <v>176</v>
      </c>
      <c r="J209" s="90" t="s">
        <v>174</v>
      </c>
      <c r="K209" s="179" t="s">
        <v>180</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Resultado Elecciones 28M 2023</v>
      </c>
      <c r="C210" s="85" t="str" cm="1">
        <f t="array" ref="C210">IFERROR(INDEX('03.Muestra'!$F$8:$F$42,SMALL(IF("Página Web"='03.Muestra'!$D$8:$D$42,ROW('03.Muestra'!$F$8:$F$42)-MIN(ROW('03.Muestra'!$D$8:$D$42))+1,""),ROW()-208)),"")</f>
        <v>https://elecciones.comunidad.madrid/es/resultados-elecciones-asamblea-madrid-28m-2023</v>
      </c>
      <c r="D210" s="99" t="s">
        <v>176</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20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Normativa electoral</v>
      </c>
      <c r="C211" s="85" t="str" cm="1">
        <f t="array" ref="C211">IFERROR(INDEX('03.Muestra'!$F$8:$F$42,SMALL(IF("Página Web"='03.Muestra'!$D$8:$D$42,ROW('03.Muestra'!$F$8:$F$42)-MIN(ROW('03.Muestra'!$D$8:$D$42))+1,""),ROW()-208)),"")</f>
        <v>https://elecciones.comunidad.madrid/es/informacion-electoral/normativa-electoral</v>
      </c>
      <c r="D211" s="99" t="s">
        <v>176</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Calendario electoral</v>
      </c>
      <c r="C212" s="85" t="str" cm="1">
        <f t="array" ref="C212">IFERROR(INDEX('03.Muestra'!$F$8:$F$42,SMALL(IF("Página Web"='03.Muestra'!$D$8:$D$42,ROW('03.Muestra'!$F$8:$F$42)-MIN(ROW('03.Muestra'!$D$8:$D$42))+1,""),ROW()-208)),"")</f>
        <v>https://elecciones.comunidad.madrid/es/informacion-electoral/calendario-electoral</v>
      </c>
      <c r="D212" s="99" t="s">
        <v>176</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Direcciones y teléfonos</v>
      </c>
      <c r="C213" s="85" t="str" cm="1">
        <f t="array" ref="C213">IFERROR(INDEX('03.Muestra'!$F$8:$F$42,SMALL(IF("Página Web"='03.Muestra'!$D$8:$D$42,ROW('03.Muestra'!$F$8:$F$42)-MIN(ROW('03.Muestra'!$D$8:$D$42))+1,""),ROW()-208)),"")</f>
        <v>https://elecciones.comunidad.madrid/es/juntas-electorales/direcciones-telefonos</v>
      </c>
      <c r="D213" s="99" t="s">
        <v>176</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Impresos electrónicos</v>
      </c>
      <c r="C214" s="85" t="str" cm="1">
        <f t="array" ref="C214">IFERROR(INDEX('03.Muestra'!$F$8:$F$42,SMALL(IF("Página Web"='03.Muestra'!$D$8:$D$42,ROW('03.Muestra'!$F$8:$F$42)-MIN(ROW('03.Muestra'!$D$8:$D$42))+1,""),ROW()-208)),"")</f>
        <v>https://elecciones.comunidad.madrid/es/formaciones-politicas/impresos-electronicos</v>
      </c>
      <c r="D214" s="99" t="s">
        <v>176</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Listado de candidaturas</v>
      </c>
      <c r="C215" s="85" t="str" cm="1">
        <f t="array" ref="C215">IFERROR(INDEX('03.Muestra'!$F$8:$F$42,SMALL(IF("Página Web"='03.Muestra'!$D$8:$D$42,ROW('03.Muestra'!$F$8:$F$42)-MIN(ROW('03.Muestra'!$D$8:$D$42))+1,""),ROW()-208)),"")</f>
        <v>https://elecciones.comunidad.madrid/es/formaciones-politicas/listado-candidaturas-proclamadas</v>
      </c>
      <c r="D215" s="99" t="s">
        <v>176</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Partido Feminista de España</v>
      </c>
      <c r="C216" s="85" t="str" cm="1">
        <f t="array" ref="C216">IFERROR(INDEX('03.Muestra'!$F$8:$F$42,SMALL(IF("Página Web"='03.Muestra'!$D$8:$D$42,ROW('03.Muestra'!$F$8:$F$42)-MIN(ROW('03.Muestra'!$D$8:$D$42))+1,""),ROW()-208)),"")</f>
        <v>https://elecciones.comunidad.madrid/es/formaciones-politicas/listado-candidaturas/partido-feminista-espana</v>
      </c>
      <c r="D216" s="99" t="s">
        <v>176</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¿Dónde voto?</v>
      </c>
      <c r="C217" s="85" t="str" cm="1">
        <f t="array" ref="C217">IFERROR(INDEX('03.Muestra'!$F$8:$F$42,SMALL(IF("Página Web"='03.Muestra'!$D$8:$D$42,ROW('03.Muestra'!$F$8:$F$42)-MIN(ROW('03.Muestra'!$D$8:$D$42))+1,""),ROW()-208)),"")</f>
        <v>https://elecciones.comunidad.madrid/es/votar/donde-voto</v>
      </c>
      <c r="D217" s="99" t="s">
        <v>176</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Voto presencial</v>
      </c>
      <c r="C218" s="85" t="str" cm="1">
        <f t="array" ref="C218">IFERROR(INDEX('03.Muestra'!$F$8:$F$42,SMALL(IF("Página Web"='03.Muestra'!$D$8:$D$42,ROW('03.Muestra'!$F$8:$F$42)-MIN(ROW('03.Muestra'!$D$8:$D$42))+1,""),ROW()-208)),"")</f>
        <v>https://elecciones.comunidad.madrid/es/voto-local-electoral/voto-presencial</v>
      </c>
      <c r="D218" s="99" t="s">
        <v>176</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Ciudadanos temporalmente en el extranjero</v>
      </c>
      <c r="C219" s="85" t="str" cm="1">
        <f t="array" ref="C219">IFERROR(INDEX('03.Muestra'!$F$8:$F$42,SMALL(IF("Página Web"='03.Muestra'!$D$8:$D$42,ROW('03.Muestra'!$F$8:$F$42)-MIN(ROW('03.Muestra'!$D$8:$D$42))+1,""),ROW()-208)),"")</f>
        <v>https://elecciones.comunidad.madrid/es/voto-correo/solicitud-voto-temporalmente-ausentes</v>
      </c>
      <c r="D219" s="99" t="s">
        <v>176</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Nuevo votante</v>
      </c>
      <c r="C220" s="85" t="str" cm="1">
        <f t="array" ref="C220">IFERROR(INDEX('03.Muestra'!$F$8:$F$42,SMALL(IF("Página Web"='03.Muestra'!$D$8:$D$42,ROW('03.Muestra'!$F$8:$F$42)-MIN(ROW('03.Muestra'!$D$8:$D$42))+1,""),ROW()-208)),"")</f>
        <v>https://elecciones.comunidad.madrid/es/votar/nuevo-votante</v>
      </c>
      <c r="D220" s="99" t="s">
        <v>176</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Simulación método D'Hondt</v>
      </c>
      <c r="C221" s="85" t="str" cm="1">
        <f t="array" ref="C221">IFERROR(INDEX('03.Muestra'!$F$8:$F$42,SMALL(IF("Página Web"='03.Muestra'!$D$8:$D$42,ROW('03.Muestra'!$F$8:$F$42)-MIN(ROW('03.Muestra'!$D$8:$D$42))+1,""),ROW()-208)),"")</f>
        <v>https://elecciones.comunidad.madrid/es/informacion-util/simulacion-metodo-dhondt</v>
      </c>
      <c r="D221" s="99" t="s">
        <v>176</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Ley D'Hondt</v>
      </c>
      <c r="C222" s="85" t="str" cm="1">
        <f t="array" ref="C222">IFERROR(INDEX('03.Muestra'!$F$8:$F$42,SMALL(IF("Página Web"='03.Muestra'!$D$8:$D$42,ROW('03.Muestra'!$F$8:$F$42)-MIN(ROW('03.Muestra'!$D$8:$D$42))+1,""),ROW()-208)),"")</f>
        <v>https://elecciones.comunidad.madrid/es/resultados/ley_d_hondt</v>
      </c>
      <c r="D222" s="99" t="s">
        <v>176</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Voto por correo elector CERA en España</v>
      </c>
      <c r="C223" s="85" t="str" cm="1">
        <f t="array" ref="C223">IFERROR(INDEX('03.Muestra'!$F$8:$F$42,SMALL(IF("Página Web"='03.Muestra'!$D$8:$D$42,ROW('03.Muestra'!$F$8:$F$42)-MIN(ROW('03.Muestra'!$D$8:$D$42))+1,""),ROW()-208)),"")</f>
        <v>https://elecciones.comunidad.madrid/es/preguntas-frecuentes/voto-correo-electores-residentes-extranjero</v>
      </c>
      <c r="D223" s="99" t="s">
        <v>176</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https://elecciones.comunidad.madrid/es/buzon-de-sugerencias</v>
      </c>
      <c r="D224" s="99" t="s">
        <v>176</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Buscador</v>
      </c>
      <c r="C225" s="85" t="str" cm="1">
        <f t="array" ref="C225">IFERROR(INDEX('03.Muestra'!$F$8:$F$42,SMALL(IF("Página Web"='03.Muestra'!$D$8:$D$42,ROW('03.Muestra'!$F$8:$F$42)-MIN(ROW('03.Muestra'!$D$8:$D$42))+1,""),ROW()-208)),"")</f>
        <v>https://elecciones.comunidad.madrid/es/search?search_api_fulltext=partido</v>
      </c>
      <c r="D225" s="99" t="s">
        <v>176</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Legal-Privacidad</v>
      </c>
      <c r="C226" s="85" t="str" cm="1">
        <f t="array" ref="C226">IFERROR(INDEX('03.Muestra'!$F$8:$F$42,SMALL(IF("Página Web"='03.Muestra'!$D$8:$D$42,ROW('03.Muestra'!$F$8:$F$42)-MIN(ROW('03.Muestra'!$D$8:$D$42))+1,""),ROW()-208)),"")</f>
        <v>https://elecciones.comunidad.madrid/es/aviso-legal</v>
      </c>
      <c r="D226" s="99" t="s">
        <v>176</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https://elecciones.comunidad.madrid/es/sitemap</v>
      </c>
      <c r="D227" s="99" t="s">
        <v>176</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Declaracion Accesibilidad</v>
      </c>
      <c r="C228" s="85" t="str" cm="1">
        <f t="array" ref="C228">IFERROR(INDEX('03.Muestra'!$F$8:$F$42,SMALL(IF("Página Web"='03.Muestra'!$D$8:$D$42,ROW('03.Muestra'!$F$8:$F$42)-MIN(ROW('03.Muestra'!$D$8:$D$42))+1,""),ROW()-208)),"")</f>
        <v>https://elecciones.comunidad.madrid/es/accesibilidad</v>
      </c>
      <c r="D228" s="99" t="s">
        <v>176</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181</v>
      </c>
      <c r="B246" s="23" t="s">
        <v>173</v>
      </c>
      <c r="C246" s="24" t="s">
        <v>230</v>
      </c>
      <c r="D246" s="25" t="s">
        <v>183</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https://elecciones.comunidad.madrid/es</v>
      </c>
      <c r="D247" s="99" t="s">
        <v>176</v>
      </c>
      <c r="E247" s="79" t="str">
        <f t="shared" ref="E247:E281" si="12">IF(D247&lt;&gt;"",IF(AND(B247&lt;&gt;"",C247&lt;&gt;""),"","ERR"),"")</f>
        <v/>
      </c>
      <c r="F247" s="86" t="s">
        <v>185</v>
      </c>
      <c r="G247" s="87" t="s">
        <v>186</v>
      </c>
      <c r="H247" s="88" t="s">
        <v>184</v>
      </c>
      <c r="I247" s="89" t="s">
        <v>176</v>
      </c>
      <c r="J247" s="90" t="s">
        <v>174</v>
      </c>
      <c r="K247" s="179" t="s">
        <v>180</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Resultado Elecciones 28M 2023</v>
      </c>
      <c r="C248" s="85" t="str" cm="1">
        <f t="array" ref="C248">IFERROR(INDEX('03.Muestra'!$F$8:$F$42,SMALL(IF("Página Web"='03.Muestra'!$D$8:$D$42,ROW('03.Muestra'!$F$8:$F$42)-MIN(ROW('03.Muestra'!$D$8:$D$42))+1,""),ROW()-246)),"")</f>
        <v>https://elecciones.comunidad.madrid/es/resultados-elecciones-asamblea-madrid-28m-2023</v>
      </c>
      <c r="D248" s="99" t="s">
        <v>176</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20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Normativa electoral</v>
      </c>
      <c r="C249" s="85" t="str" cm="1">
        <f t="array" ref="C249">IFERROR(INDEX('03.Muestra'!$F$8:$F$42,SMALL(IF("Página Web"='03.Muestra'!$D$8:$D$42,ROW('03.Muestra'!$F$8:$F$42)-MIN(ROW('03.Muestra'!$D$8:$D$42))+1,""),ROW()-246)),"")</f>
        <v>https://elecciones.comunidad.madrid/es/informacion-electoral/normativa-electoral</v>
      </c>
      <c r="D249" s="99" t="s">
        <v>176</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Calendario electoral</v>
      </c>
      <c r="C250" s="85" t="str" cm="1">
        <f t="array" ref="C250">IFERROR(INDEX('03.Muestra'!$F$8:$F$42,SMALL(IF("Página Web"='03.Muestra'!$D$8:$D$42,ROW('03.Muestra'!$F$8:$F$42)-MIN(ROW('03.Muestra'!$D$8:$D$42))+1,""),ROW()-246)),"")</f>
        <v>https://elecciones.comunidad.madrid/es/informacion-electoral/calendario-electoral</v>
      </c>
      <c r="D250" s="99" t="s">
        <v>176</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Direcciones y teléfonos</v>
      </c>
      <c r="C251" s="85" t="str" cm="1">
        <f t="array" ref="C251">IFERROR(INDEX('03.Muestra'!$F$8:$F$42,SMALL(IF("Página Web"='03.Muestra'!$D$8:$D$42,ROW('03.Muestra'!$F$8:$F$42)-MIN(ROW('03.Muestra'!$D$8:$D$42))+1,""),ROW()-246)),"")</f>
        <v>https://elecciones.comunidad.madrid/es/juntas-electorales/direcciones-telefonos</v>
      </c>
      <c r="D251" s="99" t="s">
        <v>176</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Impresos electrónicos</v>
      </c>
      <c r="C252" s="85" t="str" cm="1">
        <f t="array" ref="C252">IFERROR(INDEX('03.Muestra'!$F$8:$F$42,SMALL(IF("Página Web"='03.Muestra'!$D$8:$D$42,ROW('03.Muestra'!$F$8:$F$42)-MIN(ROW('03.Muestra'!$D$8:$D$42))+1,""),ROW()-246)),"")</f>
        <v>https://elecciones.comunidad.madrid/es/formaciones-politicas/impresos-electronicos</v>
      </c>
      <c r="D252" s="99" t="s">
        <v>176</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Listado de candidaturas</v>
      </c>
      <c r="C253" s="85" t="str" cm="1">
        <f t="array" ref="C253">IFERROR(INDEX('03.Muestra'!$F$8:$F$42,SMALL(IF("Página Web"='03.Muestra'!$D$8:$D$42,ROW('03.Muestra'!$F$8:$F$42)-MIN(ROW('03.Muestra'!$D$8:$D$42))+1,""),ROW()-246)),"")</f>
        <v>https://elecciones.comunidad.madrid/es/formaciones-politicas/listado-candidaturas-proclamadas</v>
      </c>
      <c r="D253" s="99" t="s">
        <v>176</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Partido Feminista de España</v>
      </c>
      <c r="C254" s="85" t="str" cm="1">
        <f t="array" ref="C254">IFERROR(INDEX('03.Muestra'!$F$8:$F$42,SMALL(IF("Página Web"='03.Muestra'!$D$8:$D$42,ROW('03.Muestra'!$F$8:$F$42)-MIN(ROW('03.Muestra'!$D$8:$D$42))+1,""),ROW()-246)),"")</f>
        <v>https://elecciones.comunidad.madrid/es/formaciones-politicas/listado-candidaturas/partido-feminista-espana</v>
      </c>
      <c r="D254" s="99" t="s">
        <v>176</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¿Dónde voto?</v>
      </c>
      <c r="C255" s="85" t="str" cm="1">
        <f t="array" ref="C255">IFERROR(INDEX('03.Muestra'!$F$8:$F$42,SMALL(IF("Página Web"='03.Muestra'!$D$8:$D$42,ROW('03.Muestra'!$F$8:$F$42)-MIN(ROW('03.Muestra'!$D$8:$D$42))+1,""),ROW()-246)),"")</f>
        <v>https://elecciones.comunidad.madrid/es/votar/donde-voto</v>
      </c>
      <c r="D255" s="99" t="s">
        <v>176</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Voto presencial</v>
      </c>
      <c r="C256" s="85" t="str" cm="1">
        <f t="array" ref="C256">IFERROR(INDEX('03.Muestra'!$F$8:$F$42,SMALL(IF("Página Web"='03.Muestra'!$D$8:$D$42,ROW('03.Muestra'!$F$8:$F$42)-MIN(ROW('03.Muestra'!$D$8:$D$42))+1,""),ROW()-246)),"")</f>
        <v>https://elecciones.comunidad.madrid/es/voto-local-electoral/voto-presencial</v>
      </c>
      <c r="D256" s="99" t="s">
        <v>176</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Ciudadanos temporalmente en el extranjero</v>
      </c>
      <c r="C257" s="85" t="str" cm="1">
        <f t="array" ref="C257">IFERROR(INDEX('03.Muestra'!$F$8:$F$42,SMALL(IF("Página Web"='03.Muestra'!$D$8:$D$42,ROW('03.Muestra'!$F$8:$F$42)-MIN(ROW('03.Muestra'!$D$8:$D$42))+1,""),ROW()-246)),"")</f>
        <v>https://elecciones.comunidad.madrid/es/voto-correo/solicitud-voto-temporalmente-ausentes</v>
      </c>
      <c r="D257" s="99" t="s">
        <v>176</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Nuevo votante</v>
      </c>
      <c r="C258" s="85" t="str" cm="1">
        <f t="array" ref="C258">IFERROR(INDEX('03.Muestra'!$F$8:$F$42,SMALL(IF("Página Web"='03.Muestra'!$D$8:$D$42,ROW('03.Muestra'!$F$8:$F$42)-MIN(ROW('03.Muestra'!$D$8:$D$42))+1,""),ROW()-246)),"")</f>
        <v>https://elecciones.comunidad.madrid/es/votar/nuevo-votante</v>
      </c>
      <c r="D258" s="99" t="s">
        <v>176</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Simulación método D'Hondt</v>
      </c>
      <c r="C259" s="85" t="str" cm="1">
        <f t="array" ref="C259">IFERROR(INDEX('03.Muestra'!$F$8:$F$42,SMALL(IF("Página Web"='03.Muestra'!$D$8:$D$42,ROW('03.Muestra'!$F$8:$F$42)-MIN(ROW('03.Muestra'!$D$8:$D$42))+1,""),ROW()-246)),"")</f>
        <v>https://elecciones.comunidad.madrid/es/informacion-util/simulacion-metodo-dhondt</v>
      </c>
      <c r="D259" s="99" t="s">
        <v>176</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Ley D'Hondt</v>
      </c>
      <c r="C260" s="85" t="str" cm="1">
        <f t="array" ref="C260">IFERROR(INDEX('03.Muestra'!$F$8:$F$42,SMALL(IF("Página Web"='03.Muestra'!$D$8:$D$42,ROW('03.Muestra'!$F$8:$F$42)-MIN(ROW('03.Muestra'!$D$8:$D$42))+1,""),ROW()-246)),"")</f>
        <v>https://elecciones.comunidad.madrid/es/resultados/ley_d_hondt</v>
      </c>
      <c r="D260" s="99" t="s">
        <v>176</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Voto por correo elector CERA en España</v>
      </c>
      <c r="C261" s="85" t="str" cm="1">
        <f t="array" ref="C261">IFERROR(INDEX('03.Muestra'!$F$8:$F$42,SMALL(IF("Página Web"='03.Muestra'!$D$8:$D$42,ROW('03.Muestra'!$F$8:$F$42)-MIN(ROW('03.Muestra'!$D$8:$D$42))+1,""),ROW()-246)),"")</f>
        <v>https://elecciones.comunidad.madrid/es/preguntas-frecuentes/voto-correo-electores-residentes-extranjero</v>
      </c>
      <c r="D261" s="99" t="s">
        <v>176</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https://elecciones.comunidad.madrid/es/buzon-de-sugerencias</v>
      </c>
      <c r="D262" s="99" t="s">
        <v>176</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Buscador</v>
      </c>
      <c r="C263" s="85" t="str" cm="1">
        <f t="array" ref="C263">IFERROR(INDEX('03.Muestra'!$F$8:$F$42,SMALL(IF("Página Web"='03.Muestra'!$D$8:$D$42,ROW('03.Muestra'!$F$8:$F$42)-MIN(ROW('03.Muestra'!$D$8:$D$42))+1,""),ROW()-246)),"")</f>
        <v>https://elecciones.comunidad.madrid/es/search?search_api_fulltext=partido</v>
      </c>
      <c r="D263" s="99" t="s">
        <v>176</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Legal-Privacidad</v>
      </c>
      <c r="C264" s="85" t="str" cm="1">
        <f t="array" ref="C264">IFERROR(INDEX('03.Muestra'!$F$8:$F$42,SMALL(IF("Página Web"='03.Muestra'!$D$8:$D$42,ROW('03.Muestra'!$F$8:$F$42)-MIN(ROW('03.Muestra'!$D$8:$D$42))+1,""),ROW()-246)),"")</f>
        <v>https://elecciones.comunidad.madrid/es/aviso-legal</v>
      </c>
      <c r="D264" s="99" t="s">
        <v>176</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https://elecciones.comunidad.madrid/es/sitemap</v>
      </c>
      <c r="D265" s="99" t="s">
        <v>176</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Declaracion Accesibilidad</v>
      </c>
      <c r="C266" s="85" t="str" cm="1">
        <f t="array" ref="C266">IFERROR(INDEX('03.Muestra'!$F$8:$F$42,SMALL(IF("Página Web"='03.Muestra'!$D$8:$D$42,ROW('03.Muestra'!$F$8:$F$42)-MIN(ROW('03.Muestra'!$D$8:$D$42))+1,""),ROW()-246)),"")</f>
        <v>https://elecciones.comunidad.madrid/es/accesibilidad</v>
      </c>
      <c r="D266" s="99" t="s">
        <v>176</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181</v>
      </c>
      <c r="B284" s="23" t="s">
        <v>173</v>
      </c>
      <c r="C284" s="24" t="s">
        <v>231</v>
      </c>
      <c r="D284" s="25" t="s">
        <v>183</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https://elecciones.comunidad.madrid/es</v>
      </c>
      <c r="D285" s="99" t="s">
        <v>176</v>
      </c>
      <c r="E285" s="79" t="str">
        <f t="shared" ref="E285:E319" si="14">IF(D285&lt;&gt;"",IF(AND(B285&lt;&gt;"",C285&lt;&gt;""),"","ERR"),"")</f>
        <v/>
      </c>
      <c r="F285" s="86" t="s">
        <v>185</v>
      </c>
      <c r="G285" s="87" t="s">
        <v>186</v>
      </c>
      <c r="H285" s="88" t="s">
        <v>184</v>
      </c>
      <c r="I285" s="89" t="s">
        <v>176</v>
      </c>
      <c r="J285" s="90" t="s">
        <v>174</v>
      </c>
      <c r="K285" s="179" t="s">
        <v>180</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Resultado Elecciones 28M 2023</v>
      </c>
      <c r="C286" s="85" t="str" cm="1">
        <f t="array" ref="C286">IFERROR(INDEX('03.Muestra'!$F$8:$F$42,SMALL(IF("Página Web"='03.Muestra'!$D$8:$D$42,ROW('03.Muestra'!$F$8:$F$42)-MIN(ROW('03.Muestra'!$D$8:$D$42))+1,""),ROW()-284)),"")</f>
        <v>https://elecciones.comunidad.madrid/es/resultados-elecciones-asamblea-madrid-28m-2023</v>
      </c>
      <c r="D286" s="99" t="s">
        <v>176</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20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Normativa electoral</v>
      </c>
      <c r="C287" s="85" t="str" cm="1">
        <f t="array" ref="C287">IFERROR(INDEX('03.Muestra'!$F$8:$F$42,SMALL(IF("Página Web"='03.Muestra'!$D$8:$D$42,ROW('03.Muestra'!$F$8:$F$42)-MIN(ROW('03.Muestra'!$D$8:$D$42))+1,""),ROW()-284)),"")</f>
        <v>https://elecciones.comunidad.madrid/es/informacion-electoral/normativa-electoral</v>
      </c>
      <c r="D287" s="99" t="s">
        <v>176</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Calendario electoral</v>
      </c>
      <c r="C288" s="85" t="str" cm="1">
        <f t="array" ref="C288">IFERROR(INDEX('03.Muestra'!$F$8:$F$42,SMALL(IF("Página Web"='03.Muestra'!$D$8:$D$42,ROW('03.Muestra'!$F$8:$F$42)-MIN(ROW('03.Muestra'!$D$8:$D$42))+1,""),ROW()-284)),"")</f>
        <v>https://elecciones.comunidad.madrid/es/informacion-electoral/calendario-electoral</v>
      </c>
      <c r="D288" s="99" t="s">
        <v>176</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Direcciones y teléfonos</v>
      </c>
      <c r="C289" s="85" t="str" cm="1">
        <f t="array" ref="C289">IFERROR(INDEX('03.Muestra'!$F$8:$F$42,SMALL(IF("Página Web"='03.Muestra'!$D$8:$D$42,ROW('03.Muestra'!$F$8:$F$42)-MIN(ROW('03.Muestra'!$D$8:$D$42))+1,""),ROW()-284)),"")</f>
        <v>https://elecciones.comunidad.madrid/es/juntas-electorales/direcciones-telefonos</v>
      </c>
      <c r="D289" s="99" t="s">
        <v>176</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Impresos electrónicos</v>
      </c>
      <c r="C290" s="85" t="str" cm="1">
        <f t="array" ref="C290">IFERROR(INDEX('03.Muestra'!$F$8:$F$42,SMALL(IF("Página Web"='03.Muestra'!$D$8:$D$42,ROW('03.Muestra'!$F$8:$F$42)-MIN(ROW('03.Muestra'!$D$8:$D$42))+1,""),ROW()-284)),"")</f>
        <v>https://elecciones.comunidad.madrid/es/formaciones-politicas/impresos-electronicos</v>
      </c>
      <c r="D290" s="99" t="s">
        <v>176</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Listado de candidaturas</v>
      </c>
      <c r="C291" s="85" t="str" cm="1">
        <f t="array" ref="C291">IFERROR(INDEX('03.Muestra'!$F$8:$F$42,SMALL(IF("Página Web"='03.Muestra'!$D$8:$D$42,ROW('03.Muestra'!$F$8:$F$42)-MIN(ROW('03.Muestra'!$D$8:$D$42))+1,""),ROW()-284)),"")</f>
        <v>https://elecciones.comunidad.madrid/es/formaciones-politicas/listado-candidaturas-proclamadas</v>
      </c>
      <c r="D291" s="99" t="s">
        <v>176</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Partido Feminista de España</v>
      </c>
      <c r="C292" s="85" t="str" cm="1">
        <f t="array" ref="C292">IFERROR(INDEX('03.Muestra'!$F$8:$F$42,SMALL(IF("Página Web"='03.Muestra'!$D$8:$D$42,ROW('03.Muestra'!$F$8:$F$42)-MIN(ROW('03.Muestra'!$D$8:$D$42))+1,""),ROW()-284)),"")</f>
        <v>https://elecciones.comunidad.madrid/es/formaciones-politicas/listado-candidaturas/partido-feminista-espana</v>
      </c>
      <c r="D292" s="99" t="s">
        <v>176</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¿Dónde voto?</v>
      </c>
      <c r="C293" s="85" t="str" cm="1">
        <f t="array" ref="C293">IFERROR(INDEX('03.Muestra'!$F$8:$F$42,SMALL(IF("Página Web"='03.Muestra'!$D$8:$D$42,ROW('03.Muestra'!$F$8:$F$42)-MIN(ROW('03.Muestra'!$D$8:$D$42))+1,""),ROW()-284)),"")</f>
        <v>https://elecciones.comunidad.madrid/es/votar/donde-voto</v>
      </c>
      <c r="D293" s="99" t="s">
        <v>176</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Voto presencial</v>
      </c>
      <c r="C294" s="85" t="str" cm="1">
        <f t="array" ref="C294">IFERROR(INDEX('03.Muestra'!$F$8:$F$42,SMALL(IF("Página Web"='03.Muestra'!$D$8:$D$42,ROW('03.Muestra'!$F$8:$F$42)-MIN(ROW('03.Muestra'!$D$8:$D$42))+1,""),ROW()-284)),"")</f>
        <v>https://elecciones.comunidad.madrid/es/voto-local-electoral/voto-presencial</v>
      </c>
      <c r="D294" s="99" t="s">
        <v>176</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Ciudadanos temporalmente en el extranjero</v>
      </c>
      <c r="C295" s="85" t="str" cm="1">
        <f t="array" ref="C295">IFERROR(INDEX('03.Muestra'!$F$8:$F$42,SMALL(IF("Página Web"='03.Muestra'!$D$8:$D$42,ROW('03.Muestra'!$F$8:$F$42)-MIN(ROW('03.Muestra'!$D$8:$D$42))+1,""),ROW()-284)),"")</f>
        <v>https://elecciones.comunidad.madrid/es/voto-correo/solicitud-voto-temporalmente-ausentes</v>
      </c>
      <c r="D295" s="99" t="s">
        <v>176</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Nuevo votante</v>
      </c>
      <c r="C296" s="85" t="str" cm="1">
        <f t="array" ref="C296">IFERROR(INDEX('03.Muestra'!$F$8:$F$42,SMALL(IF("Página Web"='03.Muestra'!$D$8:$D$42,ROW('03.Muestra'!$F$8:$F$42)-MIN(ROW('03.Muestra'!$D$8:$D$42))+1,""),ROW()-284)),"")</f>
        <v>https://elecciones.comunidad.madrid/es/votar/nuevo-votante</v>
      </c>
      <c r="D296" s="99" t="s">
        <v>176</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Simulación método D'Hondt</v>
      </c>
      <c r="C297" s="85" t="str" cm="1">
        <f t="array" ref="C297">IFERROR(INDEX('03.Muestra'!$F$8:$F$42,SMALL(IF("Página Web"='03.Muestra'!$D$8:$D$42,ROW('03.Muestra'!$F$8:$F$42)-MIN(ROW('03.Muestra'!$D$8:$D$42))+1,""),ROW()-284)),"")</f>
        <v>https://elecciones.comunidad.madrid/es/informacion-util/simulacion-metodo-dhondt</v>
      </c>
      <c r="D297" s="99" t="s">
        <v>176</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Ley D'Hondt</v>
      </c>
      <c r="C298" s="85" t="str" cm="1">
        <f t="array" ref="C298">IFERROR(INDEX('03.Muestra'!$F$8:$F$42,SMALL(IF("Página Web"='03.Muestra'!$D$8:$D$42,ROW('03.Muestra'!$F$8:$F$42)-MIN(ROW('03.Muestra'!$D$8:$D$42))+1,""),ROW()-284)),"")</f>
        <v>https://elecciones.comunidad.madrid/es/resultados/ley_d_hondt</v>
      </c>
      <c r="D298" s="99" t="s">
        <v>176</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Voto por correo elector CERA en España</v>
      </c>
      <c r="C299" s="85" t="str" cm="1">
        <f t="array" ref="C299">IFERROR(INDEX('03.Muestra'!$F$8:$F$42,SMALL(IF("Página Web"='03.Muestra'!$D$8:$D$42,ROW('03.Muestra'!$F$8:$F$42)-MIN(ROW('03.Muestra'!$D$8:$D$42))+1,""),ROW()-284)),"")</f>
        <v>https://elecciones.comunidad.madrid/es/preguntas-frecuentes/voto-correo-electores-residentes-extranjero</v>
      </c>
      <c r="D299" s="99" t="s">
        <v>176</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https://elecciones.comunidad.madrid/es/buzon-de-sugerencias</v>
      </c>
      <c r="D300" s="99" t="s">
        <v>176</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Buscador</v>
      </c>
      <c r="C301" s="85" t="str" cm="1">
        <f t="array" ref="C301">IFERROR(INDEX('03.Muestra'!$F$8:$F$42,SMALL(IF("Página Web"='03.Muestra'!$D$8:$D$42,ROW('03.Muestra'!$F$8:$F$42)-MIN(ROW('03.Muestra'!$D$8:$D$42))+1,""),ROW()-284)),"")</f>
        <v>https://elecciones.comunidad.madrid/es/search?search_api_fulltext=partido</v>
      </c>
      <c r="D301" s="99" t="s">
        <v>176</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Legal-Privacidad</v>
      </c>
      <c r="C302" s="85" t="str" cm="1">
        <f t="array" ref="C302">IFERROR(INDEX('03.Muestra'!$F$8:$F$42,SMALL(IF("Página Web"='03.Muestra'!$D$8:$D$42,ROW('03.Muestra'!$F$8:$F$42)-MIN(ROW('03.Muestra'!$D$8:$D$42))+1,""),ROW()-284)),"")</f>
        <v>https://elecciones.comunidad.madrid/es/aviso-legal</v>
      </c>
      <c r="D302" s="99" t="s">
        <v>176</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https://elecciones.comunidad.madrid/es/sitemap</v>
      </c>
      <c r="D303" s="99" t="s">
        <v>176</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Declaracion Accesibilidad</v>
      </c>
      <c r="C304" s="85" t="str" cm="1">
        <f t="array" ref="C304">IFERROR(INDEX('03.Muestra'!$F$8:$F$42,SMALL(IF("Página Web"='03.Muestra'!$D$8:$D$42,ROW('03.Muestra'!$F$8:$F$42)-MIN(ROW('03.Muestra'!$D$8:$D$42))+1,""),ROW()-284)),"")</f>
        <v>https://elecciones.comunidad.madrid/es/accesibilidad</v>
      </c>
      <c r="D304" s="99" t="s">
        <v>176</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181</v>
      </c>
      <c r="B322" s="23" t="s">
        <v>173</v>
      </c>
      <c r="C322" s="24" t="s">
        <v>232</v>
      </c>
      <c r="D322" s="25" t="s">
        <v>183</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https://elecciones.comunidad.madrid/es</v>
      </c>
      <c r="D323" s="99" t="s">
        <v>176</v>
      </c>
      <c r="E323" s="79" t="str">
        <f t="shared" ref="E323:E357" si="16">IF(D323&lt;&gt;"",IF(AND(B323&lt;&gt;"",C323&lt;&gt;""),"","ERR"),"")</f>
        <v/>
      </c>
      <c r="F323" s="86" t="s">
        <v>185</v>
      </c>
      <c r="G323" s="87" t="s">
        <v>186</v>
      </c>
      <c r="H323" s="88" t="s">
        <v>184</v>
      </c>
      <c r="I323" s="89" t="s">
        <v>176</v>
      </c>
      <c r="J323" s="90" t="s">
        <v>174</v>
      </c>
      <c r="K323" s="179" t="s">
        <v>180</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Resultado Elecciones 28M 2023</v>
      </c>
      <c r="C324" s="85" t="str" cm="1">
        <f t="array" ref="C324">IFERROR(INDEX('03.Muestra'!$F$8:$F$42,SMALL(IF("Página Web"='03.Muestra'!$D$8:$D$42,ROW('03.Muestra'!$F$8:$F$42)-MIN(ROW('03.Muestra'!$D$8:$D$42))+1,""),ROW()-322)),"")</f>
        <v>https://elecciones.comunidad.madrid/es/resultados-elecciones-asamblea-madrid-28m-2023</v>
      </c>
      <c r="D324" s="99" t="s">
        <v>176</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20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Normativa electoral</v>
      </c>
      <c r="C325" s="85" t="str" cm="1">
        <f t="array" ref="C325">IFERROR(INDEX('03.Muestra'!$F$8:$F$42,SMALL(IF("Página Web"='03.Muestra'!$D$8:$D$42,ROW('03.Muestra'!$F$8:$F$42)-MIN(ROW('03.Muestra'!$D$8:$D$42))+1,""),ROW()-322)),"")</f>
        <v>https://elecciones.comunidad.madrid/es/informacion-electoral/normativa-electoral</v>
      </c>
      <c r="D325" s="99" t="s">
        <v>176</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Calendario electoral</v>
      </c>
      <c r="C326" s="85" t="str" cm="1">
        <f t="array" ref="C326">IFERROR(INDEX('03.Muestra'!$F$8:$F$42,SMALL(IF("Página Web"='03.Muestra'!$D$8:$D$42,ROW('03.Muestra'!$F$8:$F$42)-MIN(ROW('03.Muestra'!$D$8:$D$42))+1,""),ROW()-322)),"")</f>
        <v>https://elecciones.comunidad.madrid/es/informacion-electoral/calendario-electoral</v>
      </c>
      <c r="D326" s="99" t="s">
        <v>176</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Direcciones y teléfonos</v>
      </c>
      <c r="C327" s="85" t="str" cm="1">
        <f t="array" ref="C327">IFERROR(INDEX('03.Muestra'!$F$8:$F$42,SMALL(IF("Página Web"='03.Muestra'!$D$8:$D$42,ROW('03.Muestra'!$F$8:$F$42)-MIN(ROW('03.Muestra'!$D$8:$D$42))+1,""),ROW()-322)),"")</f>
        <v>https://elecciones.comunidad.madrid/es/juntas-electorales/direcciones-telefonos</v>
      </c>
      <c r="D327" s="99" t="s">
        <v>176</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Impresos electrónicos</v>
      </c>
      <c r="C328" s="85" t="str" cm="1">
        <f t="array" ref="C328">IFERROR(INDEX('03.Muestra'!$F$8:$F$42,SMALL(IF("Página Web"='03.Muestra'!$D$8:$D$42,ROW('03.Muestra'!$F$8:$F$42)-MIN(ROW('03.Muestra'!$D$8:$D$42))+1,""),ROW()-322)),"")</f>
        <v>https://elecciones.comunidad.madrid/es/formaciones-politicas/impresos-electronicos</v>
      </c>
      <c r="D328" s="99" t="s">
        <v>176</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Listado de candidaturas</v>
      </c>
      <c r="C329" s="85" t="str" cm="1">
        <f t="array" ref="C329">IFERROR(INDEX('03.Muestra'!$F$8:$F$42,SMALL(IF("Página Web"='03.Muestra'!$D$8:$D$42,ROW('03.Muestra'!$F$8:$F$42)-MIN(ROW('03.Muestra'!$D$8:$D$42))+1,""),ROW()-322)),"")</f>
        <v>https://elecciones.comunidad.madrid/es/formaciones-politicas/listado-candidaturas-proclamadas</v>
      </c>
      <c r="D329" s="99" t="s">
        <v>176</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Partido Feminista de España</v>
      </c>
      <c r="C330" s="85" t="str" cm="1">
        <f t="array" ref="C330">IFERROR(INDEX('03.Muestra'!$F$8:$F$42,SMALL(IF("Página Web"='03.Muestra'!$D$8:$D$42,ROW('03.Muestra'!$F$8:$F$42)-MIN(ROW('03.Muestra'!$D$8:$D$42))+1,""),ROW()-322)),"")</f>
        <v>https://elecciones.comunidad.madrid/es/formaciones-politicas/listado-candidaturas/partido-feminista-espana</v>
      </c>
      <c r="D330" s="99" t="s">
        <v>176</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¿Dónde voto?</v>
      </c>
      <c r="C331" s="85" t="str" cm="1">
        <f t="array" ref="C331">IFERROR(INDEX('03.Muestra'!$F$8:$F$42,SMALL(IF("Página Web"='03.Muestra'!$D$8:$D$42,ROW('03.Muestra'!$F$8:$F$42)-MIN(ROW('03.Muestra'!$D$8:$D$42))+1,""),ROW()-322)),"")</f>
        <v>https://elecciones.comunidad.madrid/es/votar/donde-voto</v>
      </c>
      <c r="D331" s="99" t="s">
        <v>176</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Voto presencial</v>
      </c>
      <c r="C332" s="85" t="str" cm="1">
        <f t="array" ref="C332">IFERROR(INDEX('03.Muestra'!$F$8:$F$42,SMALL(IF("Página Web"='03.Muestra'!$D$8:$D$42,ROW('03.Muestra'!$F$8:$F$42)-MIN(ROW('03.Muestra'!$D$8:$D$42))+1,""),ROW()-322)),"")</f>
        <v>https://elecciones.comunidad.madrid/es/voto-local-electoral/voto-presencial</v>
      </c>
      <c r="D332" s="99" t="s">
        <v>176</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Ciudadanos temporalmente en el extranjero</v>
      </c>
      <c r="C333" s="85" t="str" cm="1">
        <f t="array" ref="C333">IFERROR(INDEX('03.Muestra'!$F$8:$F$42,SMALL(IF("Página Web"='03.Muestra'!$D$8:$D$42,ROW('03.Muestra'!$F$8:$F$42)-MIN(ROW('03.Muestra'!$D$8:$D$42))+1,""),ROW()-322)),"")</f>
        <v>https://elecciones.comunidad.madrid/es/voto-correo/solicitud-voto-temporalmente-ausentes</v>
      </c>
      <c r="D333" s="99" t="s">
        <v>176</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Nuevo votante</v>
      </c>
      <c r="C334" s="85" t="str" cm="1">
        <f t="array" ref="C334">IFERROR(INDEX('03.Muestra'!$F$8:$F$42,SMALL(IF("Página Web"='03.Muestra'!$D$8:$D$42,ROW('03.Muestra'!$F$8:$F$42)-MIN(ROW('03.Muestra'!$D$8:$D$42))+1,""),ROW()-322)),"")</f>
        <v>https://elecciones.comunidad.madrid/es/votar/nuevo-votante</v>
      </c>
      <c r="D334" s="99" t="s">
        <v>176</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Simulación método D'Hondt</v>
      </c>
      <c r="C335" s="85" t="str" cm="1">
        <f t="array" ref="C335">IFERROR(INDEX('03.Muestra'!$F$8:$F$42,SMALL(IF("Página Web"='03.Muestra'!$D$8:$D$42,ROW('03.Muestra'!$F$8:$F$42)-MIN(ROW('03.Muestra'!$D$8:$D$42))+1,""),ROW()-322)),"")</f>
        <v>https://elecciones.comunidad.madrid/es/informacion-util/simulacion-metodo-dhondt</v>
      </c>
      <c r="D335" s="99" t="s">
        <v>176</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Ley D'Hondt</v>
      </c>
      <c r="C336" s="85" t="str" cm="1">
        <f t="array" ref="C336">IFERROR(INDEX('03.Muestra'!$F$8:$F$42,SMALL(IF("Página Web"='03.Muestra'!$D$8:$D$42,ROW('03.Muestra'!$F$8:$F$42)-MIN(ROW('03.Muestra'!$D$8:$D$42))+1,""),ROW()-322)),"")</f>
        <v>https://elecciones.comunidad.madrid/es/resultados/ley_d_hondt</v>
      </c>
      <c r="D336" s="99" t="s">
        <v>176</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Voto por correo elector CERA en España</v>
      </c>
      <c r="C337" s="85" t="str" cm="1">
        <f t="array" ref="C337">IFERROR(INDEX('03.Muestra'!$F$8:$F$42,SMALL(IF("Página Web"='03.Muestra'!$D$8:$D$42,ROW('03.Muestra'!$F$8:$F$42)-MIN(ROW('03.Muestra'!$D$8:$D$42))+1,""),ROW()-322)),"")</f>
        <v>https://elecciones.comunidad.madrid/es/preguntas-frecuentes/voto-correo-electores-residentes-extranjero</v>
      </c>
      <c r="D337" s="99" t="s">
        <v>176</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https://elecciones.comunidad.madrid/es/buzon-de-sugerencias</v>
      </c>
      <c r="D338" s="99" t="s">
        <v>176</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Buscador</v>
      </c>
      <c r="C339" s="85" t="str" cm="1">
        <f t="array" ref="C339">IFERROR(INDEX('03.Muestra'!$F$8:$F$42,SMALL(IF("Página Web"='03.Muestra'!$D$8:$D$42,ROW('03.Muestra'!$F$8:$F$42)-MIN(ROW('03.Muestra'!$D$8:$D$42))+1,""),ROW()-322)),"")</f>
        <v>https://elecciones.comunidad.madrid/es/search?search_api_fulltext=partido</v>
      </c>
      <c r="D339" s="99" t="s">
        <v>176</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Legal-Privacidad</v>
      </c>
      <c r="C340" s="85" t="str" cm="1">
        <f t="array" ref="C340">IFERROR(INDEX('03.Muestra'!$F$8:$F$42,SMALL(IF("Página Web"='03.Muestra'!$D$8:$D$42,ROW('03.Muestra'!$F$8:$F$42)-MIN(ROW('03.Muestra'!$D$8:$D$42))+1,""),ROW()-322)),"")</f>
        <v>https://elecciones.comunidad.madrid/es/aviso-legal</v>
      </c>
      <c r="D340" s="99" t="s">
        <v>176</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https://elecciones.comunidad.madrid/es/sitemap</v>
      </c>
      <c r="D341" s="99" t="s">
        <v>176</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Declaracion Accesibilidad</v>
      </c>
      <c r="C342" s="85" t="str" cm="1">
        <f t="array" ref="C342">IFERROR(INDEX('03.Muestra'!$F$8:$F$42,SMALL(IF("Página Web"='03.Muestra'!$D$8:$D$42,ROW('03.Muestra'!$F$8:$F$42)-MIN(ROW('03.Muestra'!$D$8:$D$42))+1,""),ROW()-322)),"")</f>
        <v>https://elecciones.comunidad.madrid/es/accesibilidad</v>
      </c>
      <c r="D342" s="99" t="s">
        <v>176</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181</v>
      </c>
      <c r="B360" s="23" t="s">
        <v>173</v>
      </c>
      <c r="C360" s="24" t="s">
        <v>233</v>
      </c>
      <c r="D360" s="25" t="s">
        <v>183</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https://elecciones.comunidad.madrid/es</v>
      </c>
      <c r="D361" s="99" t="s">
        <v>184</v>
      </c>
      <c r="E361" s="79" t="str">
        <f t="shared" ref="E361:E395" si="18">IF(D361&lt;&gt;"",IF(AND(B361&lt;&gt;"",C361&lt;&gt;""),"","ERR"),"")</f>
        <v/>
      </c>
      <c r="F361" s="86" t="s">
        <v>185</v>
      </c>
      <c r="G361" s="87" t="s">
        <v>186</v>
      </c>
      <c r="H361" s="88" t="s">
        <v>184</v>
      </c>
      <c r="I361" s="89" t="s">
        <v>176</v>
      </c>
      <c r="J361" s="90" t="s">
        <v>174</v>
      </c>
      <c r="K361" s="179" t="s">
        <v>180</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Resultado Elecciones 28M 2023</v>
      </c>
      <c r="C362" s="85" t="str" cm="1">
        <f t="array" ref="C362">IFERROR(INDEX('03.Muestra'!$F$8:$F$42,SMALL(IF("Página Web"='03.Muestra'!$D$8:$D$42,ROW('03.Muestra'!$F$8:$F$42)-MIN(ROW('03.Muestra'!$D$8:$D$42))+1,""),ROW()-360)),"")</f>
        <v>https://elecciones.comunidad.madrid/es/resultados-elecciones-asamblea-madrid-28m-2023</v>
      </c>
      <c r="D362" s="99" t="s">
        <v>184</v>
      </c>
      <c r="E362" s="79" t="str">
        <f t="shared" si="18"/>
        <v/>
      </c>
      <c r="F362" s="91">
        <f ca="1">COUNTIF($D361:INDIRECT("$D" &amp;  SUM(ROW()-1,'03.Muestra'!$D$45)-1),F361)</f>
        <v>0</v>
      </c>
      <c r="G362" s="91">
        <f ca="1">COUNTIF($D361:INDIRECT("$D" &amp;  SUM(ROW()-1,'03.Muestra'!$D$45)-1),G361)</f>
        <v>0</v>
      </c>
      <c r="H362" s="91">
        <f ca="1">COUNTIF($D361:INDIRECT("$D" &amp;  SUM(ROW()-1,'03.Muestra'!$D$45)-1),H361)</f>
        <v>19</v>
      </c>
      <c r="I362" s="91">
        <f ca="1">COUNTIF($D361:INDIRECT("$D" &amp;  SUM(ROW()-1,'03.Muestra'!$D$45)-1),I361)</f>
        <v>1</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Normativa electoral</v>
      </c>
      <c r="C363" s="85" t="str" cm="1">
        <f t="array" ref="C363">IFERROR(INDEX('03.Muestra'!$F$8:$F$42,SMALL(IF("Página Web"='03.Muestra'!$D$8:$D$42,ROW('03.Muestra'!$F$8:$F$42)-MIN(ROW('03.Muestra'!$D$8:$D$42))+1,""),ROW()-360)),"")</f>
        <v>https://elecciones.comunidad.madrid/es/informacion-electoral/normativa-electoral</v>
      </c>
      <c r="D363" s="99" t="s">
        <v>184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Calendario electoral</v>
      </c>
      <c r="C364" s="85" t="str" cm="1">
        <f t="array" ref="C364">IFERROR(INDEX('03.Muestra'!$F$8:$F$42,SMALL(IF("Página Web"='03.Muestra'!$D$8:$D$42,ROW('03.Muestra'!$F$8:$F$42)-MIN(ROW('03.Muestra'!$D$8:$D$42))+1,""),ROW()-360)),"")</f>
        <v>https://elecciones.comunidad.madrid/es/informacion-electoral/calendario-electoral</v>
      </c>
      <c r="D364" s="99" t="s">
        <v>184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Direcciones y teléfonos</v>
      </c>
      <c r="C365" s="85" t="str" cm="1">
        <f t="array" ref="C365">IFERROR(INDEX('03.Muestra'!$F$8:$F$42,SMALL(IF("Página Web"='03.Muestra'!$D$8:$D$42,ROW('03.Muestra'!$F$8:$F$42)-MIN(ROW('03.Muestra'!$D$8:$D$42))+1,""),ROW()-360)),"")</f>
        <v>https://elecciones.comunidad.madrid/es/juntas-electorales/direcciones-telefonos</v>
      </c>
      <c r="D365" s="99" t="s">
        <v>184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Impresos electrónicos</v>
      </c>
      <c r="C366" s="85" t="str" cm="1">
        <f t="array" ref="C366">IFERROR(INDEX('03.Muestra'!$F$8:$F$42,SMALL(IF("Página Web"='03.Muestra'!$D$8:$D$42,ROW('03.Muestra'!$F$8:$F$42)-MIN(ROW('03.Muestra'!$D$8:$D$42))+1,""),ROW()-360)),"")</f>
        <v>https://elecciones.comunidad.madrid/es/formaciones-politicas/impresos-electronicos</v>
      </c>
      <c r="D366" s="99" t="s">
        <v>184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Listado de candidaturas</v>
      </c>
      <c r="C367" s="85" t="str" cm="1">
        <f t="array" ref="C367">IFERROR(INDEX('03.Muestra'!$F$8:$F$42,SMALL(IF("Página Web"='03.Muestra'!$D$8:$D$42,ROW('03.Muestra'!$F$8:$F$42)-MIN(ROW('03.Muestra'!$D$8:$D$42))+1,""),ROW()-360)),"")</f>
        <v>https://elecciones.comunidad.madrid/es/formaciones-politicas/listado-candidaturas-proclamadas</v>
      </c>
      <c r="D367" s="99" t="s">
        <v>184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Partido Feminista de España</v>
      </c>
      <c r="C368" s="85" t="str" cm="1">
        <f t="array" ref="C368">IFERROR(INDEX('03.Muestra'!$F$8:$F$42,SMALL(IF("Página Web"='03.Muestra'!$D$8:$D$42,ROW('03.Muestra'!$F$8:$F$42)-MIN(ROW('03.Muestra'!$D$8:$D$42))+1,""),ROW()-360)),"")</f>
        <v>https://elecciones.comunidad.madrid/es/formaciones-politicas/listado-candidaturas/partido-feminista-espana</v>
      </c>
      <c r="D368" s="99" t="s">
        <v>184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¿Dónde voto?</v>
      </c>
      <c r="C369" s="85" t="str" cm="1">
        <f t="array" ref="C369">IFERROR(INDEX('03.Muestra'!$F$8:$F$42,SMALL(IF("Página Web"='03.Muestra'!$D$8:$D$42,ROW('03.Muestra'!$F$8:$F$42)-MIN(ROW('03.Muestra'!$D$8:$D$42))+1,""),ROW()-360)),"")</f>
        <v>https://elecciones.comunidad.madrid/es/votar/donde-voto</v>
      </c>
      <c r="D369" s="99" t="s">
        <v>184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Voto presencial</v>
      </c>
      <c r="C370" s="85" t="str" cm="1">
        <f t="array" ref="C370">IFERROR(INDEX('03.Muestra'!$F$8:$F$42,SMALL(IF("Página Web"='03.Muestra'!$D$8:$D$42,ROW('03.Muestra'!$F$8:$F$42)-MIN(ROW('03.Muestra'!$D$8:$D$42))+1,""),ROW()-360)),"")</f>
        <v>https://elecciones.comunidad.madrid/es/voto-local-electoral/voto-presencial</v>
      </c>
      <c r="D370" s="99" t="s">
        <v>184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Ciudadanos temporalmente en el extranjero</v>
      </c>
      <c r="C371" s="85" t="str" cm="1">
        <f t="array" ref="C371">IFERROR(INDEX('03.Muestra'!$F$8:$F$42,SMALL(IF("Página Web"='03.Muestra'!$D$8:$D$42,ROW('03.Muestra'!$F$8:$F$42)-MIN(ROW('03.Muestra'!$D$8:$D$42))+1,""),ROW()-360)),"")</f>
        <v>https://elecciones.comunidad.madrid/es/voto-correo/solicitud-voto-temporalmente-ausentes</v>
      </c>
      <c r="D371" s="99" t="s">
        <v>184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Nuevo votante</v>
      </c>
      <c r="C372" s="85" t="str" cm="1">
        <f t="array" ref="C372">IFERROR(INDEX('03.Muestra'!$F$8:$F$42,SMALL(IF("Página Web"='03.Muestra'!$D$8:$D$42,ROW('03.Muestra'!$F$8:$F$42)-MIN(ROW('03.Muestra'!$D$8:$D$42))+1,""),ROW()-360)),"")</f>
        <v>https://elecciones.comunidad.madrid/es/votar/nuevo-votante</v>
      </c>
      <c r="D372" s="99" t="s">
        <v>184</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Simulación método D'Hondt</v>
      </c>
      <c r="C373" s="85" t="str" cm="1">
        <f t="array" ref="C373">IFERROR(INDEX('03.Muestra'!$F$8:$F$42,SMALL(IF("Página Web"='03.Muestra'!$D$8:$D$42,ROW('03.Muestra'!$F$8:$F$42)-MIN(ROW('03.Muestra'!$D$8:$D$42))+1,""),ROW()-360)),"")</f>
        <v>https://elecciones.comunidad.madrid/es/informacion-util/simulacion-metodo-dhondt</v>
      </c>
      <c r="D373" s="99" t="s">
        <v>184</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Ley D'Hondt</v>
      </c>
      <c r="C374" s="85" t="str" cm="1">
        <f t="array" ref="C374">IFERROR(INDEX('03.Muestra'!$F$8:$F$42,SMALL(IF("Página Web"='03.Muestra'!$D$8:$D$42,ROW('03.Muestra'!$F$8:$F$42)-MIN(ROW('03.Muestra'!$D$8:$D$42))+1,""),ROW()-360)),"")</f>
        <v>https://elecciones.comunidad.madrid/es/resultados/ley_d_hondt</v>
      </c>
      <c r="D374" s="99" t="s">
        <v>184</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Voto por correo elector CERA en España</v>
      </c>
      <c r="C375" s="85" t="str" cm="1">
        <f t="array" ref="C375">IFERROR(INDEX('03.Muestra'!$F$8:$F$42,SMALL(IF("Página Web"='03.Muestra'!$D$8:$D$42,ROW('03.Muestra'!$F$8:$F$42)-MIN(ROW('03.Muestra'!$D$8:$D$42))+1,""),ROW()-360)),"")</f>
        <v>https://elecciones.comunidad.madrid/es/preguntas-frecuentes/voto-correo-electores-residentes-extranjero</v>
      </c>
      <c r="D375" s="99" t="s">
        <v>184</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https://elecciones.comunidad.madrid/es/buzon-de-sugerencias</v>
      </c>
      <c r="D376" s="99" t="s">
        <v>176</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Buscador</v>
      </c>
      <c r="C377" s="85" t="str" cm="1">
        <f t="array" ref="C377">IFERROR(INDEX('03.Muestra'!$F$8:$F$42,SMALL(IF("Página Web"='03.Muestra'!$D$8:$D$42,ROW('03.Muestra'!$F$8:$F$42)-MIN(ROW('03.Muestra'!$D$8:$D$42))+1,""),ROW()-360)),"")</f>
        <v>https://elecciones.comunidad.madrid/es/search?search_api_fulltext=partido</v>
      </c>
      <c r="D377" s="99" t="s">
        <v>184</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Legal-Privacidad</v>
      </c>
      <c r="C378" s="85" t="str" cm="1">
        <f t="array" ref="C378">IFERROR(INDEX('03.Muestra'!$F$8:$F$42,SMALL(IF("Página Web"='03.Muestra'!$D$8:$D$42,ROW('03.Muestra'!$F$8:$F$42)-MIN(ROW('03.Muestra'!$D$8:$D$42))+1,""),ROW()-360)),"")</f>
        <v>https://elecciones.comunidad.madrid/es/aviso-legal</v>
      </c>
      <c r="D378" s="99" t="s">
        <v>184</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https://elecciones.comunidad.madrid/es/sitemap</v>
      </c>
      <c r="D379" s="99" t="s">
        <v>184</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Declaracion Accesibilidad</v>
      </c>
      <c r="C380" s="85" t="str" cm="1">
        <f t="array" ref="C380">IFERROR(INDEX('03.Muestra'!$F$8:$F$42,SMALL(IF("Página Web"='03.Muestra'!$D$8:$D$42,ROW('03.Muestra'!$F$8:$F$42)-MIN(ROW('03.Muestra'!$D$8:$D$42))+1,""),ROW()-360)),"")</f>
        <v>https://elecciones.comunidad.madrid/es/accesibilidad</v>
      </c>
      <c r="D380" s="99" t="s">
        <v>184</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181</v>
      </c>
      <c r="B398" s="23" t="s">
        <v>173</v>
      </c>
      <c r="C398" s="24" t="s">
        <v>234</v>
      </c>
      <c r="D398" s="25" t="s">
        <v>183</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https://elecciones.comunidad.madrid/es</v>
      </c>
      <c r="D399" s="99" t="s">
        <v>174</v>
      </c>
      <c r="E399" s="79" t="str">
        <f t="shared" ref="E399:E433" si="20">IF(D399&lt;&gt;"",IF(AND(B399&lt;&gt;"",C399&lt;&gt;""),"","ERR"),"")</f>
        <v/>
      </c>
      <c r="F399" s="86" t="s">
        <v>185</v>
      </c>
      <c r="G399" s="87" t="s">
        <v>186</v>
      </c>
      <c r="H399" s="88" t="s">
        <v>184</v>
      </c>
      <c r="I399" s="89" t="s">
        <v>176</v>
      </c>
      <c r="J399" s="90" t="s">
        <v>174</v>
      </c>
      <c r="K399" s="179" t="s">
        <v>180</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Resultado Elecciones 28M 2023</v>
      </c>
      <c r="C400" s="85" t="str" cm="1">
        <f t="array" ref="C400">IFERROR(INDEX('03.Muestra'!$F$8:$F$42,SMALL(IF("Página Web"='03.Muestra'!$D$8:$D$42,ROW('03.Muestra'!$F$8:$F$42)-MIN(ROW('03.Muestra'!$D$8:$D$42))+1,""),ROW()-398)),"")</f>
        <v>https://elecciones.comunidad.madrid/es/resultados-elecciones-asamblea-madrid-28m-2023</v>
      </c>
      <c r="D400" s="99" t="s">
        <v>174</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2</v>
      </c>
      <c r="J400" s="91">
        <f ca="1">COUNTIF($D399:INDIRECT("$D" &amp;  SUM(ROW()-1,'03.Muestra'!$D$45)-1),J399)</f>
        <v>18</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Normativa electoral</v>
      </c>
      <c r="C401" s="85" t="str" cm="1">
        <f t="array" ref="C401">IFERROR(INDEX('03.Muestra'!$F$8:$F$42,SMALL(IF("Página Web"='03.Muestra'!$D$8:$D$42,ROW('03.Muestra'!$F$8:$F$42)-MIN(ROW('03.Muestra'!$D$8:$D$42))+1,""),ROW()-398)),"")</f>
        <v>https://elecciones.comunidad.madrid/es/informacion-electoral/normativa-electoral</v>
      </c>
      <c r="D401" s="99" t="s">
        <v>174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Calendario electoral</v>
      </c>
      <c r="C402" s="85" t="str" cm="1">
        <f t="array" ref="C402">IFERROR(INDEX('03.Muestra'!$F$8:$F$42,SMALL(IF("Página Web"='03.Muestra'!$D$8:$D$42,ROW('03.Muestra'!$F$8:$F$42)-MIN(ROW('03.Muestra'!$D$8:$D$42))+1,""),ROW()-398)),"")</f>
        <v>https://elecciones.comunidad.madrid/es/informacion-electoral/calendario-electoral</v>
      </c>
      <c r="D402" s="99" t="s">
        <v>174</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Direcciones y teléfonos</v>
      </c>
      <c r="C403" s="85" t="str" cm="1">
        <f t="array" ref="C403">IFERROR(INDEX('03.Muestra'!$F$8:$F$42,SMALL(IF("Página Web"='03.Muestra'!$D$8:$D$42,ROW('03.Muestra'!$F$8:$F$42)-MIN(ROW('03.Muestra'!$D$8:$D$42))+1,""),ROW()-398)),"")</f>
        <v>https://elecciones.comunidad.madrid/es/juntas-electorales/direcciones-telefonos</v>
      </c>
      <c r="D403" s="99" t="s">
        <v>174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Impresos electrónicos</v>
      </c>
      <c r="C404" s="85" t="str" cm="1">
        <f t="array" ref="C404">IFERROR(INDEX('03.Muestra'!$F$8:$F$42,SMALL(IF("Página Web"='03.Muestra'!$D$8:$D$42,ROW('03.Muestra'!$F$8:$F$42)-MIN(ROW('03.Muestra'!$D$8:$D$42))+1,""),ROW()-398)),"")</f>
        <v>https://elecciones.comunidad.madrid/es/formaciones-politicas/impresos-electronicos</v>
      </c>
      <c r="D404" s="99" t="s">
        <v>174</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Listado de candidaturas</v>
      </c>
      <c r="C405" s="85" t="str" cm="1">
        <f t="array" ref="C405">IFERROR(INDEX('03.Muestra'!$F$8:$F$42,SMALL(IF("Página Web"='03.Muestra'!$D$8:$D$42,ROW('03.Muestra'!$F$8:$F$42)-MIN(ROW('03.Muestra'!$D$8:$D$42))+1,""),ROW()-398)),"")</f>
        <v>https://elecciones.comunidad.madrid/es/formaciones-politicas/listado-candidaturas-proclamadas</v>
      </c>
      <c r="D405" s="99" t="s">
        <v>176</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Partido Feminista de España</v>
      </c>
      <c r="C406" s="85" t="str" cm="1">
        <f t="array" ref="C406">IFERROR(INDEX('03.Muestra'!$F$8:$F$42,SMALL(IF("Página Web"='03.Muestra'!$D$8:$D$42,ROW('03.Muestra'!$F$8:$F$42)-MIN(ROW('03.Muestra'!$D$8:$D$42))+1,""),ROW()-398)),"")</f>
        <v>https://elecciones.comunidad.madrid/es/formaciones-politicas/listado-candidaturas/partido-feminista-espana</v>
      </c>
      <c r="D406" s="99" t="s">
        <v>174</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¿Dónde voto?</v>
      </c>
      <c r="C407" s="85" t="str" cm="1">
        <f t="array" ref="C407">IFERROR(INDEX('03.Muestra'!$F$8:$F$42,SMALL(IF("Página Web"='03.Muestra'!$D$8:$D$42,ROW('03.Muestra'!$F$8:$F$42)-MIN(ROW('03.Muestra'!$D$8:$D$42))+1,""),ROW()-398)),"")</f>
        <v>https://elecciones.comunidad.madrid/es/votar/donde-voto</v>
      </c>
      <c r="D407" s="99" t="s">
        <v>174</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Voto presencial</v>
      </c>
      <c r="C408" s="85" t="str" cm="1">
        <f t="array" ref="C408">IFERROR(INDEX('03.Muestra'!$F$8:$F$42,SMALL(IF("Página Web"='03.Muestra'!$D$8:$D$42,ROW('03.Muestra'!$F$8:$F$42)-MIN(ROW('03.Muestra'!$D$8:$D$42))+1,""),ROW()-398)),"")</f>
        <v>https://elecciones.comunidad.madrid/es/voto-local-electoral/voto-presencial</v>
      </c>
      <c r="D408" s="99" t="s">
        <v>174</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Ciudadanos temporalmente en el extranjero</v>
      </c>
      <c r="C409" s="85" t="str" cm="1">
        <f t="array" ref="C409">IFERROR(INDEX('03.Muestra'!$F$8:$F$42,SMALL(IF("Página Web"='03.Muestra'!$D$8:$D$42,ROW('03.Muestra'!$F$8:$F$42)-MIN(ROW('03.Muestra'!$D$8:$D$42))+1,""),ROW()-398)),"")</f>
        <v>https://elecciones.comunidad.madrid/es/voto-correo/solicitud-voto-temporalmente-ausentes</v>
      </c>
      <c r="D409" s="99" t="s">
        <v>174</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Nuevo votante</v>
      </c>
      <c r="C410" s="85" t="str" cm="1">
        <f t="array" ref="C410">IFERROR(INDEX('03.Muestra'!$F$8:$F$42,SMALL(IF("Página Web"='03.Muestra'!$D$8:$D$42,ROW('03.Muestra'!$F$8:$F$42)-MIN(ROW('03.Muestra'!$D$8:$D$42))+1,""),ROW()-398)),"")</f>
        <v>https://elecciones.comunidad.madrid/es/votar/nuevo-votante</v>
      </c>
      <c r="D410" s="99" t="s">
        <v>174</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Simulación método D'Hondt</v>
      </c>
      <c r="C411" s="85" t="str" cm="1">
        <f t="array" ref="C411">IFERROR(INDEX('03.Muestra'!$F$8:$F$42,SMALL(IF("Página Web"='03.Muestra'!$D$8:$D$42,ROW('03.Muestra'!$F$8:$F$42)-MIN(ROW('03.Muestra'!$D$8:$D$42))+1,""),ROW()-398)),"")</f>
        <v>https://elecciones.comunidad.madrid/es/informacion-util/simulacion-metodo-dhondt</v>
      </c>
      <c r="D411" s="99" t="s">
        <v>174</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Ley D'Hondt</v>
      </c>
      <c r="C412" s="85" t="str" cm="1">
        <f t="array" ref="C412">IFERROR(INDEX('03.Muestra'!$F$8:$F$42,SMALL(IF("Página Web"='03.Muestra'!$D$8:$D$42,ROW('03.Muestra'!$F$8:$F$42)-MIN(ROW('03.Muestra'!$D$8:$D$42))+1,""),ROW()-398)),"")</f>
        <v>https://elecciones.comunidad.madrid/es/resultados/ley_d_hondt</v>
      </c>
      <c r="D412" s="99" t="s">
        <v>174</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Voto por correo elector CERA en España</v>
      </c>
      <c r="C413" s="85" t="str" cm="1">
        <f t="array" ref="C413">IFERROR(INDEX('03.Muestra'!$F$8:$F$42,SMALL(IF("Página Web"='03.Muestra'!$D$8:$D$42,ROW('03.Muestra'!$F$8:$F$42)-MIN(ROW('03.Muestra'!$D$8:$D$42))+1,""),ROW()-398)),"")</f>
        <v>https://elecciones.comunidad.madrid/es/preguntas-frecuentes/voto-correo-electores-residentes-extranjero</v>
      </c>
      <c r="D413" s="99" t="s">
        <v>174</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https://elecciones.comunidad.madrid/es/buzon-de-sugerencias</v>
      </c>
      <c r="D414" s="99" t="s">
        <v>176</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Buscador</v>
      </c>
      <c r="C415" s="85" t="str" cm="1">
        <f t="array" ref="C415">IFERROR(INDEX('03.Muestra'!$F$8:$F$42,SMALL(IF("Página Web"='03.Muestra'!$D$8:$D$42,ROW('03.Muestra'!$F$8:$F$42)-MIN(ROW('03.Muestra'!$D$8:$D$42))+1,""),ROW()-398)),"")</f>
        <v>https://elecciones.comunidad.madrid/es/search?search_api_fulltext=partido</v>
      </c>
      <c r="D415" s="99" t="s">
        <v>174</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Legal-Privacidad</v>
      </c>
      <c r="C416" s="85" t="str" cm="1">
        <f t="array" ref="C416">IFERROR(INDEX('03.Muestra'!$F$8:$F$42,SMALL(IF("Página Web"='03.Muestra'!$D$8:$D$42,ROW('03.Muestra'!$F$8:$F$42)-MIN(ROW('03.Muestra'!$D$8:$D$42))+1,""),ROW()-398)),"")</f>
        <v>https://elecciones.comunidad.madrid/es/aviso-legal</v>
      </c>
      <c r="D416" s="99" t="s">
        <v>174</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https://elecciones.comunidad.madrid/es/sitemap</v>
      </c>
      <c r="D417" s="99" t="s">
        <v>174</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Declaracion Accesibilidad</v>
      </c>
      <c r="C418" s="85" t="str" cm="1">
        <f t="array" ref="C418">IFERROR(INDEX('03.Muestra'!$F$8:$F$42,SMALL(IF("Página Web"='03.Muestra'!$D$8:$D$42,ROW('03.Muestra'!$F$8:$F$42)-MIN(ROW('03.Muestra'!$D$8:$D$42))+1,""),ROW()-398)),"")</f>
        <v>https://elecciones.comunidad.madrid/es/accesibilidad</v>
      </c>
      <c r="D418" s="99" t="s">
        <v>174</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181</v>
      </c>
      <c r="B436" s="23" t="s">
        <v>173</v>
      </c>
      <c r="C436" s="24" t="s">
        <v>235</v>
      </c>
      <c r="D436" s="25" t="s">
        <v>183</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https://elecciones.comunidad.madrid/es</v>
      </c>
      <c r="D437" s="99" t="s">
        <v>184</v>
      </c>
      <c r="E437" s="79" t="str">
        <f t="shared" ref="E437:E471" si="22">IF(D437&lt;&gt;"",IF(AND(B437&lt;&gt;"",C437&lt;&gt;""),"","ERR"),"")</f>
        <v/>
      </c>
      <c r="F437" s="86" t="s">
        <v>185</v>
      </c>
      <c r="G437" s="87" t="s">
        <v>186</v>
      </c>
      <c r="H437" s="88" t="s">
        <v>184</v>
      </c>
      <c r="I437" s="89" t="s">
        <v>176</v>
      </c>
      <c r="J437" s="90" t="s">
        <v>174</v>
      </c>
      <c r="K437" s="179" t="s">
        <v>180</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Resultado Elecciones 28M 2023</v>
      </c>
      <c r="C438" s="85" t="str" cm="1">
        <f t="array" ref="C438">IFERROR(INDEX('03.Muestra'!$F$8:$F$42,SMALL(IF("Página Web"='03.Muestra'!$D$8:$D$42,ROW('03.Muestra'!$F$8:$F$42)-MIN(ROW('03.Muestra'!$D$8:$D$42))+1,""),ROW()-436)),"")</f>
        <v>https://elecciones.comunidad.madrid/es/resultados-elecciones-asamblea-madrid-28m-2023</v>
      </c>
      <c r="D438" s="99" t="s">
        <v>184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Normativa electoral</v>
      </c>
      <c r="C439" s="85" t="str" cm="1">
        <f t="array" ref="C439">IFERROR(INDEX('03.Muestra'!$F$8:$F$42,SMALL(IF("Página Web"='03.Muestra'!$D$8:$D$42,ROW('03.Muestra'!$F$8:$F$42)-MIN(ROW('03.Muestra'!$D$8:$D$42))+1,""),ROW()-436)),"")</f>
        <v>https://elecciones.comunidad.madrid/es/informacion-electoral/normativa-electoral</v>
      </c>
      <c r="D439" s="99" t="s">
        <v>184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Calendario electoral</v>
      </c>
      <c r="C440" s="85" t="str" cm="1">
        <f t="array" ref="C440">IFERROR(INDEX('03.Muestra'!$F$8:$F$42,SMALL(IF("Página Web"='03.Muestra'!$D$8:$D$42,ROW('03.Muestra'!$F$8:$F$42)-MIN(ROW('03.Muestra'!$D$8:$D$42))+1,""),ROW()-436)),"")</f>
        <v>https://elecciones.comunidad.madrid/es/informacion-electoral/calendario-electoral</v>
      </c>
      <c r="D440" s="99" t="s">
        <v>184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Direcciones y teléfonos</v>
      </c>
      <c r="C441" s="85" t="str" cm="1">
        <f t="array" ref="C441">IFERROR(INDEX('03.Muestra'!$F$8:$F$42,SMALL(IF("Página Web"='03.Muestra'!$D$8:$D$42,ROW('03.Muestra'!$F$8:$F$42)-MIN(ROW('03.Muestra'!$D$8:$D$42))+1,""),ROW()-436)),"")</f>
        <v>https://elecciones.comunidad.madrid/es/juntas-electorales/direcciones-telefonos</v>
      </c>
      <c r="D441" s="99" t="s">
        <v>184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Impresos electrónicos</v>
      </c>
      <c r="C442" s="85" t="str" cm="1">
        <f t="array" ref="C442">IFERROR(INDEX('03.Muestra'!$F$8:$F$42,SMALL(IF("Página Web"='03.Muestra'!$D$8:$D$42,ROW('03.Muestra'!$F$8:$F$42)-MIN(ROW('03.Muestra'!$D$8:$D$42))+1,""),ROW()-436)),"")</f>
        <v>https://elecciones.comunidad.madrid/es/formaciones-politicas/impresos-electronicos</v>
      </c>
      <c r="D442" s="99" t="s">
        <v>184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Listado de candidaturas</v>
      </c>
      <c r="C443" s="85" t="str" cm="1">
        <f t="array" ref="C443">IFERROR(INDEX('03.Muestra'!$F$8:$F$42,SMALL(IF("Página Web"='03.Muestra'!$D$8:$D$42,ROW('03.Muestra'!$F$8:$F$42)-MIN(ROW('03.Muestra'!$D$8:$D$42))+1,""),ROW()-436)),"")</f>
        <v>https://elecciones.comunidad.madrid/es/formaciones-politicas/listado-candidaturas-proclamadas</v>
      </c>
      <c r="D443" s="99" t="s">
        <v>184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Partido Feminista de España</v>
      </c>
      <c r="C444" s="85" t="str" cm="1">
        <f t="array" ref="C444">IFERROR(INDEX('03.Muestra'!$F$8:$F$42,SMALL(IF("Página Web"='03.Muestra'!$D$8:$D$42,ROW('03.Muestra'!$F$8:$F$42)-MIN(ROW('03.Muestra'!$D$8:$D$42))+1,""),ROW()-436)),"")</f>
        <v>https://elecciones.comunidad.madrid/es/formaciones-politicas/listado-candidaturas/partido-feminista-espana</v>
      </c>
      <c r="D444" s="99" t="s">
        <v>184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¿Dónde voto?</v>
      </c>
      <c r="C445" s="85" t="str" cm="1">
        <f t="array" ref="C445">IFERROR(INDEX('03.Muestra'!$F$8:$F$42,SMALL(IF("Página Web"='03.Muestra'!$D$8:$D$42,ROW('03.Muestra'!$F$8:$F$42)-MIN(ROW('03.Muestra'!$D$8:$D$42))+1,""),ROW()-436)),"")</f>
        <v>https://elecciones.comunidad.madrid/es/votar/donde-voto</v>
      </c>
      <c r="D445" s="99" t="s">
        <v>184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Voto presencial</v>
      </c>
      <c r="C446" s="85" t="str" cm="1">
        <f t="array" ref="C446">IFERROR(INDEX('03.Muestra'!$F$8:$F$42,SMALL(IF("Página Web"='03.Muestra'!$D$8:$D$42,ROW('03.Muestra'!$F$8:$F$42)-MIN(ROW('03.Muestra'!$D$8:$D$42))+1,""),ROW()-436)),"")</f>
        <v>https://elecciones.comunidad.madrid/es/voto-local-electoral/voto-presencial</v>
      </c>
      <c r="D446" s="99" t="s">
        <v>184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Ciudadanos temporalmente en el extranjero</v>
      </c>
      <c r="C447" s="85" t="str" cm="1">
        <f t="array" ref="C447">IFERROR(INDEX('03.Muestra'!$F$8:$F$42,SMALL(IF("Página Web"='03.Muestra'!$D$8:$D$42,ROW('03.Muestra'!$F$8:$F$42)-MIN(ROW('03.Muestra'!$D$8:$D$42))+1,""),ROW()-436)),"")</f>
        <v>https://elecciones.comunidad.madrid/es/voto-correo/solicitud-voto-temporalmente-ausentes</v>
      </c>
      <c r="D447" s="99" t="s">
        <v>184</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Nuevo votante</v>
      </c>
      <c r="C448" s="85" t="str" cm="1">
        <f t="array" ref="C448">IFERROR(INDEX('03.Muestra'!$F$8:$F$42,SMALL(IF("Página Web"='03.Muestra'!$D$8:$D$42,ROW('03.Muestra'!$F$8:$F$42)-MIN(ROW('03.Muestra'!$D$8:$D$42))+1,""),ROW()-436)),"")</f>
        <v>https://elecciones.comunidad.madrid/es/votar/nuevo-votante</v>
      </c>
      <c r="D448" s="99" t="s">
        <v>184</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Simulación método D'Hondt</v>
      </c>
      <c r="C449" s="85" t="str" cm="1">
        <f t="array" ref="C449">IFERROR(INDEX('03.Muestra'!$F$8:$F$42,SMALL(IF("Página Web"='03.Muestra'!$D$8:$D$42,ROW('03.Muestra'!$F$8:$F$42)-MIN(ROW('03.Muestra'!$D$8:$D$42))+1,""),ROW()-436)),"")</f>
        <v>https://elecciones.comunidad.madrid/es/informacion-util/simulacion-metodo-dhondt</v>
      </c>
      <c r="D449" s="99" t="s">
        <v>184</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Ley D'Hondt</v>
      </c>
      <c r="C450" s="85" t="str" cm="1">
        <f t="array" ref="C450">IFERROR(INDEX('03.Muestra'!$F$8:$F$42,SMALL(IF("Página Web"='03.Muestra'!$D$8:$D$42,ROW('03.Muestra'!$F$8:$F$42)-MIN(ROW('03.Muestra'!$D$8:$D$42))+1,""),ROW()-436)),"")</f>
        <v>https://elecciones.comunidad.madrid/es/resultados/ley_d_hondt</v>
      </c>
      <c r="D450" s="99" t="s">
        <v>184</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Voto por correo elector CERA en España</v>
      </c>
      <c r="C451" s="85" t="str" cm="1">
        <f t="array" ref="C451">IFERROR(INDEX('03.Muestra'!$F$8:$F$42,SMALL(IF("Página Web"='03.Muestra'!$D$8:$D$42,ROW('03.Muestra'!$F$8:$F$42)-MIN(ROW('03.Muestra'!$D$8:$D$42))+1,""),ROW()-436)),"")</f>
        <v>https://elecciones.comunidad.madrid/es/preguntas-frecuentes/voto-correo-electores-residentes-extranjero</v>
      </c>
      <c r="D451" s="99" t="s">
        <v>184</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https://elecciones.comunidad.madrid/es/buzon-de-sugerencias</v>
      </c>
      <c r="D452" s="99" t="s">
        <v>184</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Buscador</v>
      </c>
      <c r="C453" s="85" t="str" cm="1">
        <f t="array" ref="C453">IFERROR(INDEX('03.Muestra'!$F$8:$F$42,SMALL(IF("Página Web"='03.Muestra'!$D$8:$D$42,ROW('03.Muestra'!$F$8:$F$42)-MIN(ROW('03.Muestra'!$D$8:$D$42))+1,""),ROW()-436)),"")</f>
        <v>https://elecciones.comunidad.madrid/es/search?search_api_fulltext=partido</v>
      </c>
      <c r="D453" s="99" t="s">
        <v>184</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Legal-Privacidad</v>
      </c>
      <c r="C454" s="85" t="str" cm="1">
        <f t="array" ref="C454">IFERROR(INDEX('03.Muestra'!$F$8:$F$42,SMALL(IF("Página Web"='03.Muestra'!$D$8:$D$42,ROW('03.Muestra'!$F$8:$F$42)-MIN(ROW('03.Muestra'!$D$8:$D$42))+1,""),ROW()-436)),"")</f>
        <v>https://elecciones.comunidad.madrid/es/aviso-legal</v>
      </c>
      <c r="D454" s="99" t="s">
        <v>184</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https://elecciones.comunidad.madrid/es/sitemap</v>
      </c>
      <c r="D455" s="99" t="s">
        <v>184</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Declaracion Accesibilidad</v>
      </c>
      <c r="C456" s="85" t="str" cm="1">
        <f t="array" ref="C456">IFERROR(INDEX('03.Muestra'!$F$8:$F$42,SMALL(IF("Página Web"='03.Muestra'!$D$8:$D$42,ROW('03.Muestra'!$F$8:$F$42)-MIN(ROW('03.Muestra'!$D$8:$D$42))+1,""),ROW()-436)),"")</f>
        <v>https://elecciones.comunidad.madrid/es/accesibilidad</v>
      </c>
      <c r="D456" s="99" t="s">
        <v>184</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181</v>
      </c>
      <c r="B474" s="23" t="s">
        <v>173</v>
      </c>
      <c r="C474" s="24" t="s">
        <v>236</v>
      </c>
      <c r="D474" s="25" t="s">
        <v>183</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https://elecciones.comunidad.madrid/es</v>
      </c>
      <c r="D475" s="99" t="s">
        <v>174</v>
      </c>
      <c r="E475" s="79" t="str">
        <f t="shared" ref="E475:E509" si="24">IF(D475&lt;&gt;"",IF(AND(B475&lt;&gt;"",C475&lt;&gt;""),"","ERR"),"")</f>
        <v/>
      </c>
      <c r="F475" s="86" t="s">
        <v>185</v>
      </c>
      <c r="G475" s="87" t="s">
        <v>186</v>
      </c>
      <c r="H475" s="88" t="s">
        <v>184</v>
      </c>
      <c r="I475" s="89" t="s">
        <v>176</v>
      </c>
      <c r="J475" s="90" t="s">
        <v>174</v>
      </c>
      <c r="K475" s="179" t="s">
        <v>180</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Resultado Elecciones 28M 2023</v>
      </c>
      <c r="C476" s="85" t="str" cm="1">
        <f t="array" ref="C476">IFERROR(INDEX('03.Muestra'!$F$8:$F$42,SMALL(IF("Página Web"='03.Muestra'!$D$8:$D$42,ROW('03.Muestra'!$F$8:$F$42)-MIN(ROW('03.Muestra'!$D$8:$D$42))+1,""),ROW()-474)),"")</f>
        <v>https://elecciones.comunidad.madrid/es/resultados-elecciones-asamblea-madrid-28m-2023</v>
      </c>
      <c r="D476" s="99" t="s">
        <v>174</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20</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Normativa electoral</v>
      </c>
      <c r="C477" s="85" t="str" cm="1">
        <f t="array" ref="C477">IFERROR(INDEX('03.Muestra'!$F$8:$F$42,SMALL(IF("Página Web"='03.Muestra'!$D$8:$D$42,ROW('03.Muestra'!$F$8:$F$42)-MIN(ROW('03.Muestra'!$D$8:$D$42))+1,""),ROW()-474)),"")</f>
        <v>https://elecciones.comunidad.madrid/es/informacion-electoral/normativa-electoral</v>
      </c>
      <c r="D477" s="99" t="s">
        <v>174</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Calendario electoral</v>
      </c>
      <c r="C478" s="85" t="str" cm="1">
        <f t="array" ref="C478">IFERROR(INDEX('03.Muestra'!$F$8:$F$42,SMALL(IF("Página Web"='03.Muestra'!$D$8:$D$42,ROW('03.Muestra'!$F$8:$F$42)-MIN(ROW('03.Muestra'!$D$8:$D$42))+1,""),ROW()-474)),"")</f>
        <v>https://elecciones.comunidad.madrid/es/informacion-electoral/calendario-electoral</v>
      </c>
      <c r="D478" s="99" t="s">
        <v>174</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Direcciones y teléfonos</v>
      </c>
      <c r="C479" s="85" t="str" cm="1">
        <f t="array" ref="C479">IFERROR(INDEX('03.Muestra'!$F$8:$F$42,SMALL(IF("Página Web"='03.Muestra'!$D$8:$D$42,ROW('03.Muestra'!$F$8:$F$42)-MIN(ROW('03.Muestra'!$D$8:$D$42))+1,""),ROW()-474)),"")</f>
        <v>https://elecciones.comunidad.madrid/es/juntas-electorales/direcciones-telefonos</v>
      </c>
      <c r="D479" s="99" t="s">
        <v>174</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Impresos electrónicos</v>
      </c>
      <c r="C480" s="85" t="str" cm="1">
        <f t="array" ref="C480">IFERROR(INDEX('03.Muestra'!$F$8:$F$42,SMALL(IF("Página Web"='03.Muestra'!$D$8:$D$42,ROW('03.Muestra'!$F$8:$F$42)-MIN(ROW('03.Muestra'!$D$8:$D$42))+1,""),ROW()-474)),"")</f>
        <v>https://elecciones.comunidad.madrid/es/formaciones-politicas/impresos-electronicos</v>
      </c>
      <c r="D480" s="99" t="s">
        <v>174</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Listado de candidaturas</v>
      </c>
      <c r="C481" s="85" t="str" cm="1">
        <f t="array" ref="C481">IFERROR(INDEX('03.Muestra'!$F$8:$F$42,SMALL(IF("Página Web"='03.Muestra'!$D$8:$D$42,ROW('03.Muestra'!$F$8:$F$42)-MIN(ROW('03.Muestra'!$D$8:$D$42))+1,""),ROW()-474)),"")</f>
        <v>https://elecciones.comunidad.madrid/es/formaciones-politicas/listado-candidaturas-proclamadas</v>
      </c>
      <c r="D481" s="99" t="s">
        <v>174</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Partido Feminista de España</v>
      </c>
      <c r="C482" s="85" t="str" cm="1">
        <f t="array" ref="C482">IFERROR(INDEX('03.Muestra'!$F$8:$F$42,SMALL(IF("Página Web"='03.Muestra'!$D$8:$D$42,ROW('03.Muestra'!$F$8:$F$42)-MIN(ROW('03.Muestra'!$D$8:$D$42))+1,""),ROW()-474)),"")</f>
        <v>https://elecciones.comunidad.madrid/es/formaciones-politicas/listado-candidaturas/partido-feminista-espana</v>
      </c>
      <c r="D482" s="99" t="s">
        <v>174</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¿Dónde voto?</v>
      </c>
      <c r="C483" s="85" t="str" cm="1">
        <f t="array" ref="C483">IFERROR(INDEX('03.Muestra'!$F$8:$F$42,SMALL(IF("Página Web"='03.Muestra'!$D$8:$D$42,ROW('03.Muestra'!$F$8:$F$42)-MIN(ROW('03.Muestra'!$D$8:$D$42))+1,""),ROW()-474)),"")</f>
        <v>https://elecciones.comunidad.madrid/es/votar/donde-voto</v>
      </c>
      <c r="D483" s="99" t="s">
        <v>174</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Voto presencial</v>
      </c>
      <c r="C484" s="85" t="str" cm="1">
        <f t="array" ref="C484">IFERROR(INDEX('03.Muestra'!$F$8:$F$42,SMALL(IF("Página Web"='03.Muestra'!$D$8:$D$42,ROW('03.Muestra'!$F$8:$F$42)-MIN(ROW('03.Muestra'!$D$8:$D$42))+1,""),ROW()-474)),"")</f>
        <v>https://elecciones.comunidad.madrid/es/voto-local-electoral/voto-presencial</v>
      </c>
      <c r="D484" s="99" t="s">
        <v>174</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Ciudadanos temporalmente en el extranjero</v>
      </c>
      <c r="C485" s="85" t="str" cm="1">
        <f t="array" ref="C485">IFERROR(INDEX('03.Muestra'!$F$8:$F$42,SMALL(IF("Página Web"='03.Muestra'!$D$8:$D$42,ROW('03.Muestra'!$F$8:$F$42)-MIN(ROW('03.Muestra'!$D$8:$D$42))+1,""),ROW()-474)),"")</f>
        <v>https://elecciones.comunidad.madrid/es/voto-correo/solicitud-voto-temporalmente-ausentes</v>
      </c>
      <c r="D485" s="99" t="s">
        <v>174</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Nuevo votante</v>
      </c>
      <c r="C486" s="85" t="str" cm="1">
        <f t="array" ref="C486">IFERROR(INDEX('03.Muestra'!$F$8:$F$42,SMALL(IF("Página Web"='03.Muestra'!$D$8:$D$42,ROW('03.Muestra'!$F$8:$F$42)-MIN(ROW('03.Muestra'!$D$8:$D$42))+1,""),ROW()-474)),"")</f>
        <v>https://elecciones.comunidad.madrid/es/votar/nuevo-votante</v>
      </c>
      <c r="D486" s="99" t="s">
        <v>174</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Simulación método D'Hondt</v>
      </c>
      <c r="C487" s="85" t="str" cm="1">
        <f t="array" ref="C487">IFERROR(INDEX('03.Muestra'!$F$8:$F$42,SMALL(IF("Página Web"='03.Muestra'!$D$8:$D$42,ROW('03.Muestra'!$F$8:$F$42)-MIN(ROW('03.Muestra'!$D$8:$D$42))+1,""),ROW()-474)),"")</f>
        <v>https://elecciones.comunidad.madrid/es/informacion-util/simulacion-metodo-dhondt</v>
      </c>
      <c r="D487" s="99" t="s">
        <v>174</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Ley D'Hondt</v>
      </c>
      <c r="C488" s="85" t="str" cm="1">
        <f t="array" ref="C488">IFERROR(INDEX('03.Muestra'!$F$8:$F$42,SMALL(IF("Página Web"='03.Muestra'!$D$8:$D$42,ROW('03.Muestra'!$F$8:$F$42)-MIN(ROW('03.Muestra'!$D$8:$D$42))+1,""),ROW()-474)),"")</f>
        <v>https://elecciones.comunidad.madrid/es/resultados/ley_d_hondt</v>
      </c>
      <c r="D488" s="99" t="s">
        <v>174</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Voto por correo elector CERA en España</v>
      </c>
      <c r="C489" s="85" t="str" cm="1">
        <f t="array" ref="C489">IFERROR(INDEX('03.Muestra'!$F$8:$F$42,SMALL(IF("Página Web"='03.Muestra'!$D$8:$D$42,ROW('03.Muestra'!$F$8:$F$42)-MIN(ROW('03.Muestra'!$D$8:$D$42))+1,""),ROW()-474)),"")</f>
        <v>https://elecciones.comunidad.madrid/es/preguntas-frecuentes/voto-correo-electores-residentes-extranjero</v>
      </c>
      <c r="D489" s="99" t="s">
        <v>174</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https://elecciones.comunidad.madrid/es/buzon-de-sugerencias</v>
      </c>
      <c r="D490" s="99" t="s">
        <v>174</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Buscador</v>
      </c>
      <c r="C491" s="85" t="str" cm="1">
        <f t="array" ref="C491">IFERROR(INDEX('03.Muestra'!$F$8:$F$42,SMALL(IF("Página Web"='03.Muestra'!$D$8:$D$42,ROW('03.Muestra'!$F$8:$F$42)-MIN(ROW('03.Muestra'!$D$8:$D$42))+1,""),ROW()-474)),"")</f>
        <v>https://elecciones.comunidad.madrid/es/search?search_api_fulltext=partido</v>
      </c>
      <c r="D491" s="99" t="s">
        <v>174</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Legal-Privacidad</v>
      </c>
      <c r="C492" s="85" t="str" cm="1">
        <f t="array" ref="C492">IFERROR(INDEX('03.Muestra'!$F$8:$F$42,SMALL(IF("Página Web"='03.Muestra'!$D$8:$D$42,ROW('03.Muestra'!$F$8:$F$42)-MIN(ROW('03.Muestra'!$D$8:$D$42))+1,""),ROW()-474)),"")</f>
        <v>https://elecciones.comunidad.madrid/es/aviso-legal</v>
      </c>
      <c r="D492" s="99" t="s">
        <v>174</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https://elecciones.comunidad.madrid/es/sitemap</v>
      </c>
      <c r="D493" s="99" t="s">
        <v>174</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Declaracion Accesibilidad</v>
      </c>
      <c r="C494" s="85" t="str" cm="1">
        <f t="array" ref="C494">IFERROR(INDEX('03.Muestra'!$F$8:$F$42,SMALL(IF("Página Web"='03.Muestra'!$D$8:$D$42,ROW('03.Muestra'!$F$8:$F$42)-MIN(ROW('03.Muestra'!$D$8:$D$42))+1,""),ROW()-474)),"")</f>
        <v>https://elecciones.comunidad.madrid/es/accesibilidad</v>
      </c>
      <c r="D494" s="99" t="s">
        <v>174</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181</v>
      </c>
      <c r="B512" s="23" t="s">
        <v>173</v>
      </c>
      <c r="C512" s="24" t="s">
        <v>237</v>
      </c>
      <c r="D512" s="25" t="s">
        <v>183</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https://elecciones.comunidad.madrid/es</v>
      </c>
      <c r="D513" s="99" t="s">
        <v>176</v>
      </c>
      <c r="E513" s="79" t="str">
        <f t="shared" ref="E513:E547" si="26">IF(D513&lt;&gt;"",IF(AND(B513&lt;&gt;"",C513&lt;&gt;""),"","ERR"),"")</f>
        <v/>
      </c>
      <c r="F513" s="86" t="s">
        <v>185</v>
      </c>
      <c r="G513" s="87" t="s">
        <v>186</v>
      </c>
      <c r="H513" s="88" t="s">
        <v>184</v>
      </c>
      <c r="I513" s="89" t="s">
        <v>176</v>
      </c>
      <c r="J513" s="90" t="s">
        <v>174</v>
      </c>
      <c r="K513" s="179" t="s">
        <v>180</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Resultado Elecciones 28M 2023</v>
      </c>
      <c r="C514" s="85" t="str" cm="1">
        <f t="array" ref="C514">IFERROR(INDEX('03.Muestra'!$F$8:$F$42,SMALL(IF("Página Web"='03.Muestra'!$D$8:$D$42,ROW('03.Muestra'!$F$8:$F$42)-MIN(ROW('03.Muestra'!$D$8:$D$42))+1,""),ROW()-512)),"")</f>
        <v>https://elecciones.comunidad.madrid/es/resultados-elecciones-asamblea-madrid-28m-2023</v>
      </c>
      <c r="D514" s="99" t="s">
        <v>176</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20</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Normativa electoral</v>
      </c>
      <c r="C515" s="85" t="str" cm="1">
        <f t="array" ref="C515">IFERROR(INDEX('03.Muestra'!$F$8:$F$42,SMALL(IF("Página Web"='03.Muestra'!$D$8:$D$42,ROW('03.Muestra'!$F$8:$F$42)-MIN(ROW('03.Muestra'!$D$8:$D$42))+1,""),ROW()-512)),"")</f>
        <v>https://elecciones.comunidad.madrid/es/informacion-electoral/normativa-electoral</v>
      </c>
      <c r="D515" s="99" t="s">
        <v>176</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Calendario electoral</v>
      </c>
      <c r="C516" s="85" t="str" cm="1">
        <f t="array" ref="C516">IFERROR(INDEX('03.Muestra'!$F$8:$F$42,SMALL(IF("Página Web"='03.Muestra'!$D$8:$D$42,ROW('03.Muestra'!$F$8:$F$42)-MIN(ROW('03.Muestra'!$D$8:$D$42))+1,""),ROW()-512)),"")</f>
        <v>https://elecciones.comunidad.madrid/es/informacion-electoral/calendario-electoral</v>
      </c>
      <c r="D516" s="99" t="s">
        <v>176</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Direcciones y teléfonos</v>
      </c>
      <c r="C517" s="85" t="str" cm="1">
        <f t="array" ref="C517">IFERROR(INDEX('03.Muestra'!$F$8:$F$42,SMALL(IF("Página Web"='03.Muestra'!$D$8:$D$42,ROW('03.Muestra'!$F$8:$F$42)-MIN(ROW('03.Muestra'!$D$8:$D$42))+1,""),ROW()-512)),"")</f>
        <v>https://elecciones.comunidad.madrid/es/juntas-electorales/direcciones-telefonos</v>
      </c>
      <c r="D517" s="99" t="s">
        <v>176</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Impresos electrónicos</v>
      </c>
      <c r="C518" s="85" t="str" cm="1">
        <f t="array" ref="C518">IFERROR(INDEX('03.Muestra'!$F$8:$F$42,SMALL(IF("Página Web"='03.Muestra'!$D$8:$D$42,ROW('03.Muestra'!$F$8:$F$42)-MIN(ROW('03.Muestra'!$D$8:$D$42))+1,""),ROW()-512)),"")</f>
        <v>https://elecciones.comunidad.madrid/es/formaciones-politicas/impresos-electronicos</v>
      </c>
      <c r="D518" s="99" t="s">
        <v>176</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Listado de candidaturas</v>
      </c>
      <c r="C519" s="85" t="str" cm="1">
        <f t="array" ref="C519">IFERROR(INDEX('03.Muestra'!$F$8:$F$42,SMALL(IF("Página Web"='03.Muestra'!$D$8:$D$42,ROW('03.Muestra'!$F$8:$F$42)-MIN(ROW('03.Muestra'!$D$8:$D$42))+1,""),ROW()-512)),"")</f>
        <v>https://elecciones.comunidad.madrid/es/formaciones-politicas/listado-candidaturas-proclamadas</v>
      </c>
      <c r="D519" s="99" t="s">
        <v>176</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Partido Feminista de España</v>
      </c>
      <c r="C520" s="85" t="str" cm="1">
        <f t="array" ref="C520">IFERROR(INDEX('03.Muestra'!$F$8:$F$42,SMALL(IF("Página Web"='03.Muestra'!$D$8:$D$42,ROW('03.Muestra'!$F$8:$F$42)-MIN(ROW('03.Muestra'!$D$8:$D$42))+1,""),ROW()-512)),"")</f>
        <v>https://elecciones.comunidad.madrid/es/formaciones-politicas/listado-candidaturas/partido-feminista-espana</v>
      </c>
      <c r="D520" s="99" t="s">
        <v>176</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¿Dónde voto?</v>
      </c>
      <c r="C521" s="85" t="str" cm="1">
        <f t="array" ref="C521">IFERROR(INDEX('03.Muestra'!$F$8:$F$42,SMALL(IF("Página Web"='03.Muestra'!$D$8:$D$42,ROW('03.Muestra'!$F$8:$F$42)-MIN(ROW('03.Muestra'!$D$8:$D$42))+1,""),ROW()-512)),"")</f>
        <v>https://elecciones.comunidad.madrid/es/votar/donde-voto</v>
      </c>
      <c r="D521" s="99" t="s">
        <v>176</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Voto presencial</v>
      </c>
      <c r="C522" s="85" t="str" cm="1">
        <f t="array" ref="C522">IFERROR(INDEX('03.Muestra'!$F$8:$F$42,SMALL(IF("Página Web"='03.Muestra'!$D$8:$D$42,ROW('03.Muestra'!$F$8:$F$42)-MIN(ROW('03.Muestra'!$D$8:$D$42))+1,""),ROW()-512)),"")</f>
        <v>https://elecciones.comunidad.madrid/es/voto-local-electoral/voto-presencial</v>
      </c>
      <c r="D522" s="99" t="s">
        <v>176</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Ciudadanos temporalmente en el extranjero</v>
      </c>
      <c r="C523" s="85" t="str" cm="1">
        <f t="array" ref="C523">IFERROR(INDEX('03.Muestra'!$F$8:$F$42,SMALL(IF("Página Web"='03.Muestra'!$D$8:$D$42,ROW('03.Muestra'!$F$8:$F$42)-MIN(ROW('03.Muestra'!$D$8:$D$42))+1,""),ROW()-512)),"")</f>
        <v>https://elecciones.comunidad.madrid/es/voto-correo/solicitud-voto-temporalmente-ausentes</v>
      </c>
      <c r="D523" s="99" t="s">
        <v>176</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Nuevo votante</v>
      </c>
      <c r="C524" s="85" t="str" cm="1">
        <f t="array" ref="C524">IFERROR(INDEX('03.Muestra'!$F$8:$F$42,SMALL(IF("Página Web"='03.Muestra'!$D$8:$D$42,ROW('03.Muestra'!$F$8:$F$42)-MIN(ROW('03.Muestra'!$D$8:$D$42))+1,""),ROW()-512)),"")</f>
        <v>https://elecciones.comunidad.madrid/es/votar/nuevo-votante</v>
      </c>
      <c r="D524" s="99" t="s">
        <v>176</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Simulación método D'Hondt</v>
      </c>
      <c r="C525" s="85" t="str" cm="1">
        <f t="array" ref="C525">IFERROR(INDEX('03.Muestra'!$F$8:$F$42,SMALL(IF("Página Web"='03.Muestra'!$D$8:$D$42,ROW('03.Muestra'!$F$8:$F$42)-MIN(ROW('03.Muestra'!$D$8:$D$42))+1,""),ROW()-512)),"")</f>
        <v>https://elecciones.comunidad.madrid/es/informacion-util/simulacion-metodo-dhondt</v>
      </c>
      <c r="D525" s="99" t="s">
        <v>176</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Ley D'Hondt</v>
      </c>
      <c r="C526" s="85" t="str" cm="1">
        <f t="array" ref="C526">IFERROR(INDEX('03.Muestra'!$F$8:$F$42,SMALL(IF("Página Web"='03.Muestra'!$D$8:$D$42,ROW('03.Muestra'!$F$8:$F$42)-MIN(ROW('03.Muestra'!$D$8:$D$42))+1,""),ROW()-512)),"")</f>
        <v>https://elecciones.comunidad.madrid/es/resultados/ley_d_hondt</v>
      </c>
      <c r="D526" s="99" t="s">
        <v>176</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Voto por correo elector CERA en España</v>
      </c>
      <c r="C527" s="85" t="str" cm="1">
        <f t="array" ref="C527">IFERROR(INDEX('03.Muestra'!$F$8:$F$42,SMALL(IF("Página Web"='03.Muestra'!$D$8:$D$42,ROW('03.Muestra'!$F$8:$F$42)-MIN(ROW('03.Muestra'!$D$8:$D$42))+1,""),ROW()-512)),"")</f>
        <v>https://elecciones.comunidad.madrid/es/preguntas-frecuentes/voto-correo-electores-residentes-extranjero</v>
      </c>
      <c r="D527" s="99" t="s">
        <v>176</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https://elecciones.comunidad.madrid/es/buzon-de-sugerencias</v>
      </c>
      <c r="D528" s="99" t="s">
        <v>176</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Buscador</v>
      </c>
      <c r="C529" s="85" t="str" cm="1">
        <f t="array" ref="C529">IFERROR(INDEX('03.Muestra'!$F$8:$F$42,SMALL(IF("Página Web"='03.Muestra'!$D$8:$D$42,ROW('03.Muestra'!$F$8:$F$42)-MIN(ROW('03.Muestra'!$D$8:$D$42))+1,""),ROW()-512)),"")</f>
        <v>https://elecciones.comunidad.madrid/es/search?search_api_fulltext=partido</v>
      </c>
      <c r="D529" s="99" t="s">
        <v>176</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Legal-Privacidad</v>
      </c>
      <c r="C530" s="85" t="str" cm="1">
        <f t="array" ref="C530">IFERROR(INDEX('03.Muestra'!$F$8:$F$42,SMALL(IF("Página Web"='03.Muestra'!$D$8:$D$42,ROW('03.Muestra'!$F$8:$F$42)-MIN(ROW('03.Muestra'!$D$8:$D$42))+1,""),ROW()-512)),"")</f>
        <v>https://elecciones.comunidad.madrid/es/aviso-legal</v>
      </c>
      <c r="D530" s="99" t="s">
        <v>176</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https://elecciones.comunidad.madrid/es/sitemap</v>
      </c>
      <c r="D531" s="99" t="s">
        <v>176</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Declaracion Accesibilidad</v>
      </c>
      <c r="C532" s="85" t="str" cm="1">
        <f t="array" ref="C532">IFERROR(INDEX('03.Muestra'!$F$8:$F$42,SMALL(IF("Página Web"='03.Muestra'!$D$8:$D$42,ROW('03.Muestra'!$F$8:$F$42)-MIN(ROW('03.Muestra'!$D$8:$D$42))+1,""),ROW()-512)),"")</f>
        <v>https://elecciones.comunidad.madrid/es/accesibilidad</v>
      </c>
      <c r="D532" s="99" t="s">
        <v>176</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181</v>
      </c>
      <c r="B550" s="23" t="s">
        <v>173</v>
      </c>
      <c r="C550" s="24" t="s">
        <v>238</v>
      </c>
      <c r="D550" s="25" t="s">
        <v>183</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https://elecciones.comunidad.madrid/es</v>
      </c>
      <c r="D551" s="99" t="s">
        <v>184</v>
      </c>
      <c r="E551" s="79" t="str">
        <f t="shared" ref="E551:E585" si="28">IF(D551&lt;&gt;"",IF(AND(B551&lt;&gt;"",C551&lt;&gt;""),"","ERR"),"")</f>
        <v/>
      </c>
      <c r="F551" s="86" t="s">
        <v>185</v>
      </c>
      <c r="G551" s="87" t="s">
        <v>186</v>
      </c>
      <c r="H551" s="88" t="s">
        <v>184</v>
      </c>
      <c r="I551" s="89" t="s">
        <v>176</v>
      </c>
      <c r="J551" s="90" t="s">
        <v>174</v>
      </c>
      <c r="K551" s="179" t="s">
        <v>180</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Resultado Elecciones 28M 2023</v>
      </c>
      <c r="C552" s="85" t="str" cm="1">
        <f t="array" ref="C552">IFERROR(INDEX('03.Muestra'!$F$8:$F$42,SMALL(IF("Página Web"='03.Muestra'!$D$8:$D$42,ROW('03.Muestra'!$F$8:$F$42)-MIN(ROW('03.Muestra'!$D$8:$D$42))+1,""),ROW()-550)),"")</f>
        <v>https://elecciones.comunidad.madrid/es/resultados-elecciones-asamblea-madrid-28m-2023</v>
      </c>
      <c r="D552" s="99" t="s">
        <v>174</v>
      </c>
      <c r="E552" s="79" t="str">
        <f t="shared" si="28"/>
        <v/>
      </c>
      <c r="F552" s="91">
        <f ca="1">COUNTIF($D551:INDIRECT("$D" &amp;  SUM(ROW()-1,'03.Muestra'!$D$45)-1),F551)</f>
        <v>0</v>
      </c>
      <c r="G552" s="91">
        <f ca="1">COUNTIF($D551:INDIRECT("$D" &amp;  SUM(ROW()-1,'03.Muestra'!$D$45)-1),G551)</f>
        <v>0</v>
      </c>
      <c r="H552" s="91">
        <f ca="1">COUNTIF($D551:INDIRECT("$D" &amp;  SUM(ROW()-1,'03.Muestra'!$D$45)-1),H551)</f>
        <v>19</v>
      </c>
      <c r="I552" s="91">
        <f ca="1">COUNTIF($D551:INDIRECT("$D" &amp;  SUM(ROW()-1,'03.Muestra'!$D$45)-1),I551)</f>
        <v>0</v>
      </c>
      <c r="J552" s="91">
        <f ca="1">COUNTIF($D551:INDIRECT("$D" &amp;  SUM(ROW()-1,'03.Muestra'!$D$45)-1),J551)</f>
        <v>1</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Normativa electoral</v>
      </c>
      <c r="C553" s="85" t="str" cm="1">
        <f t="array" ref="C553">IFERROR(INDEX('03.Muestra'!$F$8:$F$42,SMALL(IF("Página Web"='03.Muestra'!$D$8:$D$42,ROW('03.Muestra'!$F$8:$F$42)-MIN(ROW('03.Muestra'!$D$8:$D$42))+1,""),ROW()-550)),"")</f>
        <v>https://elecciones.comunidad.madrid/es/informacion-electoral/normativa-electoral</v>
      </c>
      <c r="D553" s="99" t="s">
        <v>184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Calendario electoral</v>
      </c>
      <c r="C554" s="85" t="str" cm="1">
        <f t="array" ref="C554">IFERROR(INDEX('03.Muestra'!$F$8:$F$42,SMALL(IF("Página Web"='03.Muestra'!$D$8:$D$42,ROW('03.Muestra'!$F$8:$F$42)-MIN(ROW('03.Muestra'!$D$8:$D$42))+1,""),ROW()-550)),"")</f>
        <v>https://elecciones.comunidad.madrid/es/informacion-electoral/calendario-electoral</v>
      </c>
      <c r="D554" s="99" t="s">
        <v>184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Direcciones y teléfonos</v>
      </c>
      <c r="C555" s="85" t="str" cm="1">
        <f t="array" ref="C555">IFERROR(INDEX('03.Muestra'!$F$8:$F$42,SMALL(IF("Página Web"='03.Muestra'!$D$8:$D$42,ROW('03.Muestra'!$F$8:$F$42)-MIN(ROW('03.Muestra'!$D$8:$D$42))+1,""),ROW()-550)),"")</f>
        <v>https://elecciones.comunidad.madrid/es/juntas-electorales/direcciones-telefonos</v>
      </c>
      <c r="D555" s="99" t="s">
        <v>184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Impresos electrónicos</v>
      </c>
      <c r="C556" s="85" t="str" cm="1">
        <f t="array" ref="C556">IFERROR(INDEX('03.Muestra'!$F$8:$F$42,SMALL(IF("Página Web"='03.Muestra'!$D$8:$D$42,ROW('03.Muestra'!$F$8:$F$42)-MIN(ROW('03.Muestra'!$D$8:$D$42))+1,""),ROW()-550)),"")</f>
        <v>https://elecciones.comunidad.madrid/es/formaciones-politicas/impresos-electronicos</v>
      </c>
      <c r="D556" s="99" t="s">
        <v>184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Listado de candidaturas</v>
      </c>
      <c r="C557" s="85" t="str" cm="1">
        <f t="array" ref="C557">IFERROR(INDEX('03.Muestra'!$F$8:$F$42,SMALL(IF("Página Web"='03.Muestra'!$D$8:$D$42,ROW('03.Muestra'!$F$8:$F$42)-MIN(ROW('03.Muestra'!$D$8:$D$42))+1,""),ROW()-550)),"")</f>
        <v>https://elecciones.comunidad.madrid/es/formaciones-politicas/listado-candidaturas-proclamadas</v>
      </c>
      <c r="D557" s="99" t="s">
        <v>184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Partido Feminista de España</v>
      </c>
      <c r="C558" s="85" t="str" cm="1">
        <f t="array" ref="C558">IFERROR(INDEX('03.Muestra'!$F$8:$F$42,SMALL(IF("Página Web"='03.Muestra'!$D$8:$D$42,ROW('03.Muestra'!$F$8:$F$42)-MIN(ROW('03.Muestra'!$D$8:$D$42))+1,""),ROW()-550)),"")</f>
        <v>https://elecciones.comunidad.madrid/es/formaciones-politicas/listado-candidaturas/partido-feminista-espana</v>
      </c>
      <c r="D558" s="99" t="s">
        <v>184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¿Dónde voto?</v>
      </c>
      <c r="C559" s="85" t="str" cm="1">
        <f t="array" ref="C559">IFERROR(INDEX('03.Muestra'!$F$8:$F$42,SMALL(IF("Página Web"='03.Muestra'!$D$8:$D$42,ROW('03.Muestra'!$F$8:$F$42)-MIN(ROW('03.Muestra'!$D$8:$D$42))+1,""),ROW()-550)),"")</f>
        <v>https://elecciones.comunidad.madrid/es/votar/donde-voto</v>
      </c>
      <c r="D559" s="99" t="s">
        <v>184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Voto presencial</v>
      </c>
      <c r="C560" s="85" t="str" cm="1">
        <f t="array" ref="C560">IFERROR(INDEX('03.Muestra'!$F$8:$F$42,SMALL(IF("Página Web"='03.Muestra'!$D$8:$D$42,ROW('03.Muestra'!$F$8:$F$42)-MIN(ROW('03.Muestra'!$D$8:$D$42))+1,""),ROW()-550)),"")</f>
        <v>https://elecciones.comunidad.madrid/es/voto-local-electoral/voto-presencial</v>
      </c>
      <c r="D560" s="99" t="s">
        <v>184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Ciudadanos temporalmente en el extranjero</v>
      </c>
      <c r="C561" s="85" t="str" cm="1">
        <f t="array" ref="C561">IFERROR(INDEX('03.Muestra'!$F$8:$F$42,SMALL(IF("Página Web"='03.Muestra'!$D$8:$D$42,ROW('03.Muestra'!$F$8:$F$42)-MIN(ROW('03.Muestra'!$D$8:$D$42))+1,""),ROW()-550)),"")</f>
        <v>https://elecciones.comunidad.madrid/es/voto-correo/solicitud-voto-temporalmente-ausentes</v>
      </c>
      <c r="D561" s="99" t="s">
        <v>184</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Nuevo votante</v>
      </c>
      <c r="C562" s="85" t="str" cm="1">
        <f t="array" ref="C562">IFERROR(INDEX('03.Muestra'!$F$8:$F$42,SMALL(IF("Página Web"='03.Muestra'!$D$8:$D$42,ROW('03.Muestra'!$F$8:$F$42)-MIN(ROW('03.Muestra'!$D$8:$D$42))+1,""),ROW()-550)),"")</f>
        <v>https://elecciones.comunidad.madrid/es/votar/nuevo-votante</v>
      </c>
      <c r="D562" s="99" t="s">
        <v>184</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Simulación método D'Hondt</v>
      </c>
      <c r="C563" s="85" t="str" cm="1">
        <f t="array" ref="C563">IFERROR(INDEX('03.Muestra'!$F$8:$F$42,SMALL(IF("Página Web"='03.Muestra'!$D$8:$D$42,ROW('03.Muestra'!$F$8:$F$42)-MIN(ROW('03.Muestra'!$D$8:$D$42))+1,""),ROW()-550)),"")</f>
        <v>https://elecciones.comunidad.madrid/es/informacion-util/simulacion-metodo-dhondt</v>
      </c>
      <c r="D563" s="99" t="s">
        <v>184</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Ley D'Hondt</v>
      </c>
      <c r="C564" s="85" t="str" cm="1">
        <f t="array" ref="C564">IFERROR(INDEX('03.Muestra'!$F$8:$F$42,SMALL(IF("Página Web"='03.Muestra'!$D$8:$D$42,ROW('03.Muestra'!$F$8:$F$42)-MIN(ROW('03.Muestra'!$D$8:$D$42))+1,""),ROW()-550)),"")</f>
        <v>https://elecciones.comunidad.madrid/es/resultados/ley_d_hondt</v>
      </c>
      <c r="D564" s="99" t="s">
        <v>184</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Voto por correo elector CERA en España</v>
      </c>
      <c r="C565" s="85" t="str" cm="1">
        <f t="array" ref="C565">IFERROR(INDEX('03.Muestra'!$F$8:$F$42,SMALL(IF("Página Web"='03.Muestra'!$D$8:$D$42,ROW('03.Muestra'!$F$8:$F$42)-MIN(ROW('03.Muestra'!$D$8:$D$42))+1,""),ROW()-550)),"")</f>
        <v>https://elecciones.comunidad.madrid/es/preguntas-frecuentes/voto-correo-electores-residentes-extranjero</v>
      </c>
      <c r="D565" s="99" t="s">
        <v>184</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https://elecciones.comunidad.madrid/es/buzon-de-sugerencias</v>
      </c>
      <c r="D566" s="99" t="s">
        <v>184</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Buscador</v>
      </c>
      <c r="C567" s="85" t="str" cm="1">
        <f t="array" ref="C567">IFERROR(INDEX('03.Muestra'!$F$8:$F$42,SMALL(IF("Página Web"='03.Muestra'!$D$8:$D$42,ROW('03.Muestra'!$F$8:$F$42)-MIN(ROW('03.Muestra'!$D$8:$D$42))+1,""),ROW()-550)),"")</f>
        <v>https://elecciones.comunidad.madrid/es/search?search_api_fulltext=partido</v>
      </c>
      <c r="D567" s="99" t="s">
        <v>184</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Legal-Privacidad</v>
      </c>
      <c r="C568" s="85" t="str" cm="1">
        <f t="array" ref="C568">IFERROR(INDEX('03.Muestra'!$F$8:$F$42,SMALL(IF("Página Web"='03.Muestra'!$D$8:$D$42,ROW('03.Muestra'!$F$8:$F$42)-MIN(ROW('03.Muestra'!$D$8:$D$42))+1,""),ROW()-550)),"")</f>
        <v>https://elecciones.comunidad.madrid/es/aviso-legal</v>
      </c>
      <c r="D568" s="99" t="s">
        <v>184</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https://elecciones.comunidad.madrid/es/sitemap</v>
      </c>
      <c r="D569" s="99" t="s">
        <v>184</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Declaracion Accesibilidad</v>
      </c>
      <c r="C570" s="85" t="str" cm="1">
        <f t="array" ref="C570">IFERROR(INDEX('03.Muestra'!$F$8:$F$42,SMALL(IF("Página Web"='03.Muestra'!$D$8:$D$42,ROW('03.Muestra'!$F$8:$F$42)-MIN(ROW('03.Muestra'!$D$8:$D$42))+1,""),ROW()-550)),"")</f>
        <v>https://elecciones.comunidad.madrid/es/accesibilidad</v>
      </c>
      <c r="D570" s="99" t="s">
        <v>184</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181</v>
      </c>
      <c r="B588" s="23" t="s">
        <v>173</v>
      </c>
      <c r="C588" s="24" t="s">
        <v>239</v>
      </c>
      <c r="D588" s="25" t="s">
        <v>183</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https://elecciones.comunidad.madrid/es</v>
      </c>
      <c r="D589" s="99" t="s">
        <v>176</v>
      </c>
      <c r="E589" s="79" t="str">
        <f t="shared" ref="E589:E623" si="30">IF(D589&lt;&gt;"",IF(AND(B589&lt;&gt;"",C589&lt;&gt;""),"","ERR"),"")</f>
        <v/>
      </c>
      <c r="F589" s="86" t="s">
        <v>185</v>
      </c>
      <c r="G589" s="87" t="s">
        <v>186</v>
      </c>
      <c r="H589" s="88" t="s">
        <v>184</v>
      </c>
      <c r="I589" s="89" t="s">
        <v>176</v>
      </c>
      <c r="J589" s="90" t="s">
        <v>174</v>
      </c>
      <c r="K589" s="179" t="s">
        <v>180</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Resultado Elecciones 28M 2023</v>
      </c>
      <c r="C590" s="85" t="str" cm="1">
        <f t="array" ref="C590">IFERROR(INDEX('03.Muestra'!$F$8:$F$42,SMALL(IF("Página Web"='03.Muestra'!$D$8:$D$42,ROW('03.Muestra'!$F$8:$F$42)-MIN(ROW('03.Muestra'!$D$8:$D$42))+1,""),ROW()-588)),"")</f>
        <v>https://elecciones.comunidad.madrid/es/resultados-elecciones-asamblea-madrid-28m-2023</v>
      </c>
      <c r="D590" s="99" t="s">
        <v>176</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20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Normativa electoral</v>
      </c>
      <c r="C591" s="85" t="str" cm="1">
        <f t="array" ref="C591">IFERROR(INDEX('03.Muestra'!$F$8:$F$42,SMALL(IF("Página Web"='03.Muestra'!$D$8:$D$42,ROW('03.Muestra'!$F$8:$F$42)-MIN(ROW('03.Muestra'!$D$8:$D$42))+1,""),ROW()-588)),"")</f>
        <v>https://elecciones.comunidad.madrid/es/informacion-electoral/normativa-electoral</v>
      </c>
      <c r="D591" s="99" t="s">
        <v>176</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Calendario electoral</v>
      </c>
      <c r="C592" s="85" t="str" cm="1">
        <f t="array" ref="C592">IFERROR(INDEX('03.Muestra'!$F$8:$F$42,SMALL(IF("Página Web"='03.Muestra'!$D$8:$D$42,ROW('03.Muestra'!$F$8:$F$42)-MIN(ROW('03.Muestra'!$D$8:$D$42))+1,""),ROW()-588)),"")</f>
        <v>https://elecciones.comunidad.madrid/es/informacion-electoral/calendario-electoral</v>
      </c>
      <c r="D592" s="99" t="s">
        <v>176</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Direcciones y teléfonos</v>
      </c>
      <c r="C593" s="85" t="str" cm="1">
        <f t="array" ref="C593">IFERROR(INDEX('03.Muestra'!$F$8:$F$42,SMALL(IF("Página Web"='03.Muestra'!$D$8:$D$42,ROW('03.Muestra'!$F$8:$F$42)-MIN(ROW('03.Muestra'!$D$8:$D$42))+1,""),ROW()-588)),"")</f>
        <v>https://elecciones.comunidad.madrid/es/juntas-electorales/direcciones-telefonos</v>
      </c>
      <c r="D593" s="99" t="s">
        <v>176</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Impresos electrónicos</v>
      </c>
      <c r="C594" s="85" t="str" cm="1">
        <f t="array" ref="C594">IFERROR(INDEX('03.Muestra'!$F$8:$F$42,SMALL(IF("Página Web"='03.Muestra'!$D$8:$D$42,ROW('03.Muestra'!$F$8:$F$42)-MIN(ROW('03.Muestra'!$D$8:$D$42))+1,""),ROW()-588)),"")</f>
        <v>https://elecciones.comunidad.madrid/es/formaciones-politicas/impresos-electronicos</v>
      </c>
      <c r="D594" s="99" t="s">
        <v>176</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Listado de candidaturas</v>
      </c>
      <c r="C595" s="85" t="str" cm="1">
        <f t="array" ref="C595">IFERROR(INDEX('03.Muestra'!$F$8:$F$42,SMALL(IF("Página Web"='03.Muestra'!$D$8:$D$42,ROW('03.Muestra'!$F$8:$F$42)-MIN(ROW('03.Muestra'!$D$8:$D$42))+1,""),ROW()-588)),"")</f>
        <v>https://elecciones.comunidad.madrid/es/formaciones-politicas/listado-candidaturas-proclamadas</v>
      </c>
      <c r="D595" s="99" t="s">
        <v>176</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Partido Feminista de España</v>
      </c>
      <c r="C596" s="85" t="str" cm="1">
        <f t="array" ref="C596">IFERROR(INDEX('03.Muestra'!$F$8:$F$42,SMALL(IF("Página Web"='03.Muestra'!$D$8:$D$42,ROW('03.Muestra'!$F$8:$F$42)-MIN(ROW('03.Muestra'!$D$8:$D$42))+1,""),ROW()-588)),"")</f>
        <v>https://elecciones.comunidad.madrid/es/formaciones-politicas/listado-candidaturas/partido-feminista-espana</v>
      </c>
      <c r="D596" s="99" t="s">
        <v>176</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¿Dónde voto?</v>
      </c>
      <c r="C597" s="85" t="str" cm="1">
        <f t="array" ref="C597">IFERROR(INDEX('03.Muestra'!$F$8:$F$42,SMALL(IF("Página Web"='03.Muestra'!$D$8:$D$42,ROW('03.Muestra'!$F$8:$F$42)-MIN(ROW('03.Muestra'!$D$8:$D$42))+1,""),ROW()-588)),"")</f>
        <v>https://elecciones.comunidad.madrid/es/votar/donde-voto</v>
      </c>
      <c r="D597" s="99" t="s">
        <v>176</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Voto presencial</v>
      </c>
      <c r="C598" s="85" t="str" cm="1">
        <f t="array" ref="C598">IFERROR(INDEX('03.Muestra'!$F$8:$F$42,SMALL(IF("Página Web"='03.Muestra'!$D$8:$D$42,ROW('03.Muestra'!$F$8:$F$42)-MIN(ROW('03.Muestra'!$D$8:$D$42))+1,""),ROW()-588)),"")</f>
        <v>https://elecciones.comunidad.madrid/es/voto-local-electoral/voto-presencial</v>
      </c>
      <c r="D598" s="99" t="s">
        <v>176</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Ciudadanos temporalmente en el extranjero</v>
      </c>
      <c r="C599" s="85" t="str" cm="1">
        <f t="array" ref="C599">IFERROR(INDEX('03.Muestra'!$F$8:$F$42,SMALL(IF("Página Web"='03.Muestra'!$D$8:$D$42,ROW('03.Muestra'!$F$8:$F$42)-MIN(ROW('03.Muestra'!$D$8:$D$42))+1,""),ROW()-588)),"")</f>
        <v>https://elecciones.comunidad.madrid/es/voto-correo/solicitud-voto-temporalmente-ausentes</v>
      </c>
      <c r="D599" s="99" t="s">
        <v>176</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Nuevo votante</v>
      </c>
      <c r="C600" s="85" t="str" cm="1">
        <f t="array" ref="C600">IFERROR(INDEX('03.Muestra'!$F$8:$F$42,SMALL(IF("Página Web"='03.Muestra'!$D$8:$D$42,ROW('03.Muestra'!$F$8:$F$42)-MIN(ROW('03.Muestra'!$D$8:$D$42))+1,""),ROW()-588)),"")</f>
        <v>https://elecciones.comunidad.madrid/es/votar/nuevo-votante</v>
      </c>
      <c r="D600" s="99" t="s">
        <v>176</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Simulación método D'Hondt</v>
      </c>
      <c r="C601" s="85" t="str" cm="1">
        <f t="array" ref="C601">IFERROR(INDEX('03.Muestra'!$F$8:$F$42,SMALL(IF("Página Web"='03.Muestra'!$D$8:$D$42,ROW('03.Muestra'!$F$8:$F$42)-MIN(ROW('03.Muestra'!$D$8:$D$42))+1,""),ROW()-588)),"")</f>
        <v>https://elecciones.comunidad.madrid/es/informacion-util/simulacion-metodo-dhondt</v>
      </c>
      <c r="D601" s="99" t="s">
        <v>176</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Ley D'Hondt</v>
      </c>
      <c r="C602" s="85" t="str" cm="1">
        <f t="array" ref="C602">IFERROR(INDEX('03.Muestra'!$F$8:$F$42,SMALL(IF("Página Web"='03.Muestra'!$D$8:$D$42,ROW('03.Muestra'!$F$8:$F$42)-MIN(ROW('03.Muestra'!$D$8:$D$42))+1,""),ROW()-588)),"")</f>
        <v>https://elecciones.comunidad.madrid/es/resultados/ley_d_hondt</v>
      </c>
      <c r="D602" s="99" t="s">
        <v>176</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Voto por correo elector CERA en España</v>
      </c>
      <c r="C603" s="85" t="str" cm="1">
        <f t="array" ref="C603">IFERROR(INDEX('03.Muestra'!$F$8:$F$42,SMALL(IF("Página Web"='03.Muestra'!$D$8:$D$42,ROW('03.Muestra'!$F$8:$F$42)-MIN(ROW('03.Muestra'!$D$8:$D$42))+1,""),ROW()-588)),"")</f>
        <v>https://elecciones.comunidad.madrid/es/preguntas-frecuentes/voto-correo-electores-residentes-extranjero</v>
      </c>
      <c r="D603" s="99" t="s">
        <v>176</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https://elecciones.comunidad.madrid/es/buzon-de-sugerencias</v>
      </c>
      <c r="D604" s="99" t="s">
        <v>176</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Buscador</v>
      </c>
      <c r="C605" s="85" t="str" cm="1">
        <f t="array" ref="C605">IFERROR(INDEX('03.Muestra'!$F$8:$F$42,SMALL(IF("Página Web"='03.Muestra'!$D$8:$D$42,ROW('03.Muestra'!$F$8:$F$42)-MIN(ROW('03.Muestra'!$D$8:$D$42))+1,""),ROW()-588)),"")</f>
        <v>https://elecciones.comunidad.madrid/es/search?search_api_fulltext=partido</v>
      </c>
      <c r="D605" s="99" t="s">
        <v>176</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Legal-Privacidad</v>
      </c>
      <c r="C606" s="85" t="str" cm="1">
        <f t="array" ref="C606">IFERROR(INDEX('03.Muestra'!$F$8:$F$42,SMALL(IF("Página Web"='03.Muestra'!$D$8:$D$42,ROW('03.Muestra'!$F$8:$F$42)-MIN(ROW('03.Muestra'!$D$8:$D$42))+1,""),ROW()-588)),"")</f>
        <v>https://elecciones.comunidad.madrid/es/aviso-legal</v>
      </c>
      <c r="D606" s="99" t="s">
        <v>176</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https://elecciones.comunidad.madrid/es/sitemap</v>
      </c>
      <c r="D607" s="99" t="s">
        <v>176</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Declaracion Accesibilidad</v>
      </c>
      <c r="C608" s="85" t="str" cm="1">
        <f t="array" ref="C608">IFERROR(INDEX('03.Muestra'!$F$8:$F$42,SMALL(IF("Página Web"='03.Muestra'!$D$8:$D$42,ROW('03.Muestra'!$F$8:$F$42)-MIN(ROW('03.Muestra'!$D$8:$D$42))+1,""),ROW()-588)),"")</f>
        <v>https://elecciones.comunidad.madrid/es/accesibilidad</v>
      </c>
      <c r="D608" s="99" t="s">
        <v>176</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181</v>
      </c>
      <c r="B626" s="23" t="s">
        <v>173</v>
      </c>
      <c r="C626" s="24" t="s">
        <v>240</v>
      </c>
      <c r="D626" s="25" t="s">
        <v>183</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https://elecciones.comunidad.madrid/es</v>
      </c>
      <c r="D627" s="99" t="s">
        <v>176</v>
      </c>
      <c r="E627" s="79" t="str">
        <f t="shared" ref="E627:E661" si="32">IF(D627&lt;&gt;"",IF(AND(B627&lt;&gt;"",C627&lt;&gt;""),"","ERR"),"")</f>
        <v/>
      </c>
      <c r="F627" s="86" t="s">
        <v>185</v>
      </c>
      <c r="G627" s="87" t="s">
        <v>186</v>
      </c>
      <c r="H627" s="88" t="s">
        <v>184</v>
      </c>
      <c r="I627" s="89" t="s">
        <v>176</v>
      </c>
      <c r="J627" s="90" t="s">
        <v>174</v>
      </c>
      <c r="K627" s="179" t="s">
        <v>180</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Resultado Elecciones 28M 2023</v>
      </c>
      <c r="C628" s="85" t="str" cm="1">
        <f t="array" ref="C628">IFERROR(INDEX('03.Muestra'!$F$8:$F$42,SMALL(IF("Página Web"='03.Muestra'!$D$8:$D$42,ROW('03.Muestra'!$F$8:$F$42)-MIN(ROW('03.Muestra'!$D$8:$D$42))+1,""),ROW()-626)),"")</f>
        <v>https://elecciones.comunidad.madrid/es/resultados-elecciones-asamblea-madrid-28m-2023</v>
      </c>
      <c r="D628" s="99" t="s">
        <v>176</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20</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Normativa electoral</v>
      </c>
      <c r="C629" s="85" t="str" cm="1">
        <f t="array" ref="C629">IFERROR(INDEX('03.Muestra'!$F$8:$F$42,SMALL(IF("Página Web"='03.Muestra'!$D$8:$D$42,ROW('03.Muestra'!$F$8:$F$42)-MIN(ROW('03.Muestra'!$D$8:$D$42))+1,""),ROW()-626)),"")</f>
        <v>https://elecciones.comunidad.madrid/es/informacion-electoral/normativa-electoral</v>
      </c>
      <c r="D629" s="99" t="s">
        <v>176</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Calendario electoral</v>
      </c>
      <c r="C630" s="85" t="str" cm="1">
        <f t="array" ref="C630">IFERROR(INDEX('03.Muestra'!$F$8:$F$42,SMALL(IF("Página Web"='03.Muestra'!$D$8:$D$42,ROW('03.Muestra'!$F$8:$F$42)-MIN(ROW('03.Muestra'!$D$8:$D$42))+1,""),ROW()-626)),"")</f>
        <v>https://elecciones.comunidad.madrid/es/informacion-electoral/calendario-electoral</v>
      </c>
      <c r="D630" s="99" t="s">
        <v>176</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Direcciones y teléfonos</v>
      </c>
      <c r="C631" s="85" t="str" cm="1">
        <f t="array" ref="C631">IFERROR(INDEX('03.Muestra'!$F$8:$F$42,SMALL(IF("Página Web"='03.Muestra'!$D$8:$D$42,ROW('03.Muestra'!$F$8:$F$42)-MIN(ROW('03.Muestra'!$D$8:$D$42))+1,""),ROW()-626)),"")</f>
        <v>https://elecciones.comunidad.madrid/es/juntas-electorales/direcciones-telefonos</v>
      </c>
      <c r="D631" s="99" t="s">
        <v>176</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Impresos electrónicos</v>
      </c>
      <c r="C632" s="85" t="str" cm="1">
        <f t="array" ref="C632">IFERROR(INDEX('03.Muestra'!$F$8:$F$42,SMALL(IF("Página Web"='03.Muestra'!$D$8:$D$42,ROW('03.Muestra'!$F$8:$F$42)-MIN(ROW('03.Muestra'!$D$8:$D$42))+1,""),ROW()-626)),"")</f>
        <v>https://elecciones.comunidad.madrid/es/formaciones-politicas/impresos-electronicos</v>
      </c>
      <c r="D632" s="99" t="s">
        <v>176</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Listado de candidaturas</v>
      </c>
      <c r="C633" s="85" t="str" cm="1">
        <f t="array" ref="C633">IFERROR(INDEX('03.Muestra'!$F$8:$F$42,SMALL(IF("Página Web"='03.Muestra'!$D$8:$D$42,ROW('03.Muestra'!$F$8:$F$42)-MIN(ROW('03.Muestra'!$D$8:$D$42))+1,""),ROW()-626)),"")</f>
        <v>https://elecciones.comunidad.madrid/es/formaciones-politicas/listado-candidaturas-proclamadas</v>
      </c>
      <c r="D633" s="99" t="s">
        <v>176</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Partido Feminista de España</v>
      </c>
      <c r="C634" s="85" t="str" cm="1">
        <f t="array" ref="C634">IFERROR(INDEX('03.Muestra'!$F$8:$F$42,SMALL(IF("Página Web"='03.Muestra'!$D$8:$D$42,ROW('03.Muestra'!$F$8:$F$42)-MIN(ROW('03.Muestra'!$D$8:$D$42))+1,""),ROW()-626)),"")</f>
        <v>https://elecciones.comunidad.madrid/es/formaciones-politicas/listado-candidaturas/partido-feminista-espana</v>
      </c>
      <c r="D634" s="99" t="s">
        <v>176</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¿Dónde voto?</v>
      </c>
      <c r="C635" s="85" t="str" cm="1">
        <f t="array" ref="C635">IFERROR(INDEX('03.Muestra'!$F$8:$F$42,SMALL(IF("Página Web"='03.Muestra'!$D$8:$D$42,ROW('03.Muestra'!$F$8:$F$42)-MIN(ROW('03.Muestra'!$D$8:$D$42))+1,""),ROW()-626)),"")</f>
        <v>https://elecciones.comunidad.madrid/es/votar/donde-voto</v>
      </c>
      <c r="D635" s="99" t="s">
        <v>176</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Voto presencial</v>
      </c>
      <c r="C636" s="85" t="str" cm="1">
        <f t="array" ref="C636">IFERROR(INDEX('03.Muestra'!$F$8:$F$42,SMALL(IF("Página Web"='03.Muestra'!$D$8:$D$42,ROW('03.Muestra'!$F$8:$F$42)-MIN(ROW('03.Muestra'!$D$8:$D$42))+1,""),ROW()-626)),"")</f>
        <v>https://elecciones.comunidad.madrid/es/voto-local-electoral/voto-presencial</v>
      </c>
      <c r="D636" s="99" t="s">
        <v>176</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Ciudadanos temporalmente en el extranjero</v>
      </c>
      <c r="C637" s="85" t="str" cm="1">
        <f t="array" ref="C637">IFERROR(INDEX('03.Muestra'!$F$8:$F$42,SMALL(IF("Página Web"='03.Muestra'!$D$8:$D$42,ROW('03.Muestra'!$F$8:$F$42)-MIN(ROW('03.Muestra'!$D$8:$D$42))+1,""),ROW()-626)),"")</f>
        <v>https://elecciones.comunidad.madrid/es/voto-correo/solicitud-voto-temporalmente-ausentes</v>
      </c>
      <c r="D637" s="99" t="s">
        <v>176</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Nuevo votante</v>
      </c>
      <c r="C638" s="85" t="str" cm="1">
        <f t="array" ref="C638">IFERROR(INDEX('03.Muestra'!$F$8:$F$42,SMALL(IF("Página Web"='03.Muestra'!$D$8:$D$42,ROW('03.Muestra'!$F$8:$F$42)-MIN(ROW('03.Muestra'!$D$8:$D$42))+1,""),ROW()-626)),"")</f>
        <v>https://elecciones.comunidad.madrid/es/votar/nuevo-votante</v>
      </c>
      <c r="D638" s="99" t="s">
        <v>176</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Simulación método D'Hondt</v>
      </c>
      <c r="C639" s="85" t="str" cm="1">
        <f t="array" ref="C639">IFERROR(INDEX('03.Muestra'!$F$8:$F$42,SMALL(IF("Página Web"='03.Muestra'!$D$8:$D$42,ROW('03.Muestra'!$F$8:$F$42)-MIN(ROW('03.Muestra'!$D$8:$D$42))+1,""),ROW()-626)),"")</f>
        <v>https://elecciones.comunidad.madrid/es/informacion-util/simulacion-metodo-dhondt</v>
      </c>
      <c r="D639" s="99" t="s">
        <v>176</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Ley D'Hondt</v>
      </c>
      <c r="C640" s="85" t="str" cm="1">
        <f t="array" ref="C640">IFERROR(INDEX('03.Muestra'!$F$8:$F$42,SMALL(IF("Página Web"='03.Muestra'!$D$8:$D$42,ROW('03.Muestra'!$F$8:$F$42)-MIN(ROW('03.Muestra'!$D$8:$D$42))+1,""),ROW()-626)),"")</f>
        <v>https://elecciones.comunidad.madrid/es/resultados/ley_d_hondt</v>
      </c>
      <c r="D640" s="99" t="s">
        <v>176</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Voto por correo elector CERA en España</v>
      </c>
      <c r="C641" s="85" t="str" cm="1">
        <f t="array" ref="C641">IFERROR(INDEX('03.Muestra'!$F$8:$F$42,SMALL(IF("Página Web"='03.Muestra'!$D$8:$D$42,ROW('03.Muestra'!$F$8:$F$42)-MIN(ROW('03.Muestra'!$D$8:$D$42))+1,""),ROW()-626)),"")</f>
        <v>https://elecciones.comunidad.madrid/es/preguntas-frecuentes/voto-correo-electores-residentes-extranjero</v>
      </c>
      <c r="D641" s="99" t="s">
        <v>176</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https://elecciones.comunidad.madrid/es/buzon-de-sugerencias</v>
      </c>
      <c r="D642" s="99" t="s">
        <v>176</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Buscador</v>
      </c>
      <c r="C643" s="85" t="str" cm="1">
        <f t="array" ref="C643">IFERROR(INDEX('03.Muestra'!$F$8:$F$42,SMALL(IF("Página Web"='03.Muestra'!$D$8:$D$42,ROW('03.Muestra'!$F$8:$F$42)-MIN(ROW('03.Muestra'!$D$8:$D$42))+1,""),ROW()-626)),"")</f>
        <v>https://elecciones.comunidad.madrid/es/search?search_api_fulltext=partido</v>
      </c>
      <c r="D643" s="99" t="s">
        <v>176</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Legal-Privacidad</v>
      </c>
      <c r="C644" s="85" t="str" cm="1">
        <f t="array" ref="C644">IFERROR(INDEX('03.Muestra'!$F$8:$F$42,SMALL(IF("Página Web"='03.Muestra'!$D$8:$D$42,ROW('03.Muestra'!$F$8:$F$42)-MIN(ROW('03.Muestra'!$D$8:$D$42))+1,""),ROW()-626)),"")</f>
        <v>https://elecciones.comunidad.madrid/es/aviso-legal</v>
      </c>
      <c r="D644" s="99" t="s">
        <v>176</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https://elecciones.comunidad.madrid/es/sitemap</v>
      </c>
      <c r="D645" s="99" t="s">
        <v>176</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Declaracion Accesibilidad</v>
      </c>
      <c r="C646" s="85" t="str" cm="1">
        <f t="array" ref="C646">IFERROR(INDEX('03.Muestra'!$F$8:$F$42,SMALL(IF("Página Web"='03.Muestra'!$D$8:$D$42,ROW('03.Muestra'!$F$8:$F$42)-MIN(ROW('03.Muestra'!$D$8:$D$42))+1,""),ROW()-626)),"")</f>
        <v>https://elecciones.comunidad.madrid/es/accesibilidad</v>
      </c>
      <c r="D646" s="99" t="s">
        <v>176</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181</v>
      </c>
      <c r="B664" s="23" t="s">
        <v>173</v>
      </c>
      <c r="C664" s="24" t="s">
        <v>241</v>
      </c>
      <c r="D664" s="25" t="s">
        <v>183</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https://elecciones.comunidad.madrid/es</v>
      </c>
      <c r="D665" s="99" t="s">
        <v>174</v>
      </c>
      <c r="E665" s="79" t="str">
        <f t="shared" ref="E665:E699" si="34">IF(D665&lt;&gt;"",IF(AND(B665&lt;&gt;"",C665&lt;&gt;""),"","ERR"),"")</f>
        <v/>
      </c>
      <c r="F665" s="86" t="s">
        <v>185</v>
      </c>
      <c r="G665" s="87" t="s">
        <v>186</v>
      </c>
      <c r="H665" s="88" t="s">
        <v>184</v>
      </c>
      <c r="I665" s="89" t="s">
        <v>176</v>
      </c>
      <c r="J665" s="90" t="s">
        <v>174</v>
      </c>
      <c r="K665" s="179" t="s">
        <v>180</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Resultado Elecciones 28M 2023</v>
      </c>
      <c r="C666" s="85" t="str" cm="1">
        <f t="array" ref="C666">IFERROR(INDEX('03.Muestra'!$F$8:$F$42,SMALL(IF("Página Web"='03.Muestra'!$D$8:$D$42,ROW('03.Muestra'!$F$8:$F$42)-MIN(ROW('03.Muestra'!$D$8:$D$42))+1,""),ROW()-664)),"")</f>
        <v>https://elecciones.comunidad.madrid/es/resultados-elecciones-asamblea-madrid-28m-2023</v>
      </c>
      <c r="D666" s="99" t="s">
        <v>174</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20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Normativa electoral</v>
      </c>
      <c r="C667" s="85" t="str" cm="1">
        <f t="array" ref="C667">IFERROR(INDEX('03.Muestra'!$F$8:$F$42,SMALL(IF("Página Web"='03.Muestra'!$D$8:$D$42,ROW('03.Muestra'!$F$8:$F$42)-MIN(ROW('03.Muestra'!$D$8:$D$42))+1,""),ROW()-664)),"")</f>
        <v>https://elecciones.comunidad.madrid/es/informacion-electoral/normativa-electoral</v>
      </c>
      <c r="D667" s="99" t="s">
        <v>174</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Calendario electoral</v>
      </c>
      <c r="C668" s="85" t="str" cm="1">
        <f t="array" ref="C668">IFERROR(INDEX('03.Muestra'!$F$8:$F$42,SMALL(IF("Página Web"='03.Muestra'!$D$8:$D$42,ROW('03.Muestra'!$F$8:$F$42)-MIN(ROW('03.Muestra'!$D$8:$D$42))+1,""),ROW()-664)),"")</f>
        <v>https://elecciones.comunidad.madrid/es/informacion-electoral/calendario-electoral</v>
      </c>
      <c r="D668" s="99" t="s">
        <v>174</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Direcciones y teléfonos</v>
      </c>
      <c r="C669" s="85" t="str" cm="1">
        <f t="array" ref="C669">IFERROR(INDEX('03.Muestra'!$F$8:$F$42,SMALL(IF("Página Web"='03.Muestra'!$D$8:$D$42,ROW('03.Muestra'!$F$8:$F$42)-MIN(ROW('03.Muestra'!$D$8:$D$42))+1,""),ROW()-664)),"")</f>
        <v>https://elecciones.comunidad.madrid/es/juntas-electorales/direcciones-telefonos</v>
      </c>
      <c r="D669" s="99" t="s">
        <v>174</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Impresos electrónicos</v>
      </c>
      <c r="C670" s="85" t="str" cm="1">
        <f t="array" ref="C670">IFERROR(INDEX('03.Muestra'!$F$8:$F$42,SMALL(IF("Página Web"='03.Muestra'!$D$8:$D$42,ROW('03.Muestra'!$F$8:$F$42)-MIN(ROW('03.Muestra'!$D$8:$D$42))+1,""),ROW()-664)),"")</f>
        <v>https://elecciones.comunidad.madrid/es/formaciones-politicas/impresos-electronicos</v>
      </c>
      <c r="D670" s="99" t="s">
        <v>174</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Listado de candidaturas</v>
      </c>
      <c r="C671" s="85" t="str" cm="1">
        <f t="array" ref="C671">IFERROR(INDEX('03.Muestra'!$F$8:$F$42,SMALL(IF("Página Web"='03.Muestra'!$D$8:$D$42,ROW('03.Muestra'!$F$8:$F$42)-MIN(ROW('03.Muestra'!$D$8:$D$42))+1,""),ROW()-664)),"")</f>
        <v>https://elecciones.comunidad.madrid/es/formaciones-politicas/listado-candidaturas-proclamadas</v>
      </c>
      <c r="D671" s="99" t="s">
        <v>174</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Partido Feminista de España</v>
      </c>
      <c r="C672" s="85" t="str" cm="1">
        <f t="array" ref="C672">IFERROR(INDEX('03.Muestra'!$F$8:$F$42,SMALL(IF("Página Web"='03.Muestra'!$D$8:$D$42,ROW('03.Muestra'!$F$8:$F$42)-MIN(ROW('03.Muestra'!$D$8:$D$42))+1,""),ROW()-664)),"")</f>
        <v>https://elecciones.comunidad.madrid/es/formaciones-politicas/listado-candidaturas/partido-feminista-espana</v>
      </c>
      <c r="D672" s="99" t="s">
        <v>174</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¿Dónde voto?</v>
      </c>
      <c r="C673" s="85" t="str" cm="1">
        <f t="array" ref="C673">IFERROR(INDEX('03.Muestra'!$F$8:$F$42,SMALL(IF("Página Web"='03.Muestra'!$D$8:$D$42,ROW('03.Muestra'!$F$8:$F$42)-MIN(ROW('03.Muestra'!$D$8:$D$42))+1,""),ROW()-664)),"")</f>
        <v>https://elecciones.comunidad.madrid/es/votar/donde-voto</v>
      </c>
      <c r="D673" s="99" t="s">
        <v>174</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Voto presencial</v>
      </c>
      <c r="C674" s="85" t="str" cm="1">
        <f t="array" ref="C674">IFERROR(INDEX('03.Muestra'!$F$8:$F$42,SMALL(IF("Página Web"='03.Muestra'!$D$8:$D$42,ROW('03.Muestra'!$F$8:$F$42)-MIN(ROW('03.Muestra'!$D$8:$D$42))+1,""),ROW()-664)),"")</f>
        <v>https://elecciones.comunidad.madrid/es/voto-local-electoral/voto-presencial</v>
      </c>
      <c r="D674" s="99" t="s">
        <v>174</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Ciudadanos temporalmente en el extranjero</v>
      </c>
      <c r="C675" s="85" t="str" cm="1">
        <f t="array" ref="C675">IFERROR(INDEX('03.Muestra'!$F$8:$F$42,SMALL(IF("Página Web"='03.Muestra'!$D$8:$D$42,ROW('03.Muestra'!$F$8:$F$42)-MIN(ROW('03.Muestra'!$D$8:$D$42))+1,""),ROW()-664)),"")</f>
        <v>https://elecciones.comunidad.madrid/es/voto-correo/solicitud-voto-temporalmente-ausentes</v>
      </c>
      <c r="D675" s="99" t="s">
        <v>174</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Nuevo votante</v>
      </c>
      <c r="C676" s="85" t="str" cm="1">
        <f t="array" ref="C676">IFERROR(INDEX('03.Muestra'!$F$8:$F$42,SMALL(IF("Página Web"='03.Muestra'!$D$8:$D$42,ROW('03.Muestra'!$F$8:$F$42)-MIN(ROW('03.Muestra'!$D$8:$D$42))+1,""),ROW()-664)),"")</f>
        <v>https://elecciones.comunidad.madrid/es/votar/nuevo-votante</v>
      </c>
      <c r="D676" s="99" t="s">
        <v>174</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Simulación método D'Hondt</v>
      </c>
      <c r="C677" s="85" t="str" cm="1">
        <f t="array" ref="C677">IFERROR(INDEX('03.Muestra'!$F$8:$F$42,SMALL(IF("Página Web"='03.Muestra'!$D$8:$D$42,ROW('03.Muestra'!$F$8:$F$42)-MIN(ROW('03.Muestra'!$D$8:$D$42))+1,""),ROW()-664)),"")</f>
        <v>https://elecciones.comunidad.madrid/es/informacion-util/simulacion-metodo-dhondt</v>
      </c>
      <c r="D677" s="99" t="s">
        <v>174</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Ley D'Hondt</v>
      </c>
      <c r="C678" s="85" t="str" cm="1">
        <f t="array" ref="C678">IFERROR(INDEX('03.Muestra'!$F$8:$F$42,SMALL(IF("Página Web"='03.Muestra'!$D$8:$D$42,ROW('03.Muestra'!$F$8:$F$42)-MIN(ROW('03.Muestra'!$D$8:$D$42))+1,""),ROW()-664)),"")</f>
        <v>https://elecciones.comunidad.madrid/es/resultados/ley_d_hondt</v>
      </c>
      <c r="D678" s="99" t="s">
        <v>174</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Voto por correo elector CERA en España</v>
      </c>
      <c r="C679" s="85" t="str" cm="1">
        <f t="array" ref="C679">IFERROR(INDEX('03.Muestra'!$F$8:$F$42,SMALL(IF("Página Web"='03.Muestra'!$D$8:$D$42,ROW('03.Muestra'!$F$8:$F$42)-MIN(ROW('03.Muestra'!$D$8:$D$42))+1,""),ROW()-664)),"")</f>
        <v>https://elecciones.comunidad.madrid/es/preguntas-frecuentes/voto-correo-electores-residentes-extranjero</v>
      </c>
      <c r="D679" s="99" t="s">
        <v>174</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https://elecciones.comunidad.madrid/es/buzon-de-sugerencias</v>
      </c>
      <c r="D680" s="99" t="s">
        <v>174</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Buscador</v>
      </c>
      <c r="C681" s="85" t="str" cm="1">
        <f t="array" ref="C681">IFERROR(INDEX('03.Muestra'!$F$8:$F$42,SMALL(IF("Página Web"='03.Muestra'!$D$8:$D$42,ROW('03.Muestra'!$F$8:$F$42)-MIN(ROW('03.Muestra'!$D$8:$D$42))+1,""),ROW()-664)),"")</f>
        <v>https://elecciones.comunidad.madrid/es/search?search_api_fulltext=partido</v>
      </c>
      <c r="D681" s="99" t="s">
        <v>174</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Legal-Privacidad</v>
      </c>
      <c r="C682" s="85" t="str" cm="1">
        <f t="array" ref="C682">IFERROR(INDEX('03.Muestra'!$F$8:$F$42,SMALL(IF("Página Web"='03.Muestra'!$D$8:$D$42,ROW('03.Muestra'!$F$8:$F$42)-MIN(ROW('03.Muestra'!$D$8:$D$42))+1,""),ROW()-664)),"")</f>
        <v>https://elecciones.comunidad.madrid/es/aviso-legal</v>
      </c>
      <c r="D682" s="99" t="s">
        <v>174</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https://elecciones.comunidad.madrid/es/sitemap</v>
      </c>
      <c r="D683" s="99" t="s">
        <v>174</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Declaracion Accesibilidad</v>
      </c>
      <c r="C684" s="85" t="str" cm="1">
        <f t="array" ref="C684">IFERROR(INDEX('03.Muestra'!$F$8:$F$42,SMALL(IF("Página Web"='03.Muestra'!$D$8:$D$42,ROW('03.Muestra'!$F$8:$F$42)-MIN(ROW('03.Muestra'!$D$8:$D$42))+1,""),ROW()-664)),"")</f>
        <v>https://elecciones.comunidad.madrid/es/accesibilidad</v>
      </c>
      <c r="D684" s="99" t="s">
        <v>174</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181</v>
      </c>
      <c r="B702" s="23" t="s">
        <v>173</v>
      </c>
      <c r="C702" s="24" t="s">
        <v>242</v>
      </c>
      <c r="D702" s="25" t="s">
        <v>183</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https://elecciones.comunidad.madrid/es</v>
      </c>
      <c r="D703" s="99" t="s">
        <v>176</v>
      </c>
      <c r="E703" s="79" t="str">
        <f t="shared" ref="E703:E737" si="36">IF(D703&lt;&gt;"",IF(AND(B703&lt;&gt;"",C703&lt;&gt;""),"","ERR"),"")</f>
        <v/>
      </c>
      <c r="F703" s="86" t="s">
        <v>185</v>
      </c>
      <c r="G703" s="87" t="s">
        <v>186</v>
      </c>
      <c r="H703" s="88" t="s">
        <v>184</v>
      </c>
      <c r="I703" s="89" t="s">
        <v>176</v>
      </c>
      <c r="J703" s="90" t="s">
        <v>174</v>
      </c>
      <c r="K703" s="179" t="s">
        <v>180</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Resultado Elecciones 28M 2023</v>
      </c>
      <c r="C704" s="85" t="str" cm="1">
        <f t="array" ref="C704">IFERROR(INDEX('03.Muestra'!$F$8:$F$42,SMALL(IF("Página Web"='03.Muestra'!$D$8:$D$42,ROW('03.Muestra'!$F$8:$F$42)-MIN(ROW('03.Muestra'!$D$8:$D$42))+1,""),ROW()-702)),"")</f>
        <v>https://elecciones.comunidad.madrid/es/resultados-elecciones-asamblea-madrid-28m-2023</v>
      </c>
      <c r="D704" s="99" t="s">
        <v>176</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20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Normativa electoral</v>
      </c>
      <c r="C705" s="85" t="str" cm="1">
        <f t="array" ref="C705">IFERROR(INDEX('03.Muestra'!$F$8:$F$42,SMALL(IF("Página Web"='03.Muestra'!$D$8:$D$42,ROW('03.Muestra'!$F$8:$F$42)-MIN(ROW('03.Muestra'!$D$8:$D$42))+1,""),ROW()-702)),"")</f>
        <v>https://elecciones.comunidad.madrid/es/informacion-electoral/normativa-electoral</v>
      </c>
      <c r="D705" s="99" t="s">
        <v>176</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Calendario electoral</v>
      </c>
      <c r="C706" s="85" t="str" cm="1">
        <f t="array" ref="C706">IFERROR(INDEX('03.Muestra'!$F$8:$F$42,SMALL(IF("Página Web"='03.Muestra'!$D$8:$D$42,ROW('03.Muestra'!$F$8:$F$42)-MIN(ROW('03.Muestra'!$D$8:$D$42))+1,""),ROW()-702)),"")</f>
        <v>https://elecciones.comunidad.madrid/es/informacion-electoral/calendario-electoral</v>
      </c>
      <c r="D706" s="99" t="s">
        <v>176</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Direcciones y teléfonos</v>
      </c>
      <c r="C707" s="85" t="str" cm="1">
        <f t="array" ref="C707">IFERROR(INDEX('03.Muestra'!$F$8:$F$42,SMALL(IF("Página Web"='03.Muestra'!$D$8:$D$42,ROW('03.Muestra'!$F$8:$F$42)-MIN(ROW('03.Muestra'!$D$8:$D$42))+1,""),ROW()-702)),"")</f>
        <v>https://elecciones.comunidad.madrid/es/juntas-electorales/direcciones-telefonos</v>
      </c>
      <c r="D707" s="99" t="s">
        <v>176</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Impresos electrónicos</v>
      </c>
      <c r="C708" s="85" t="str" cm="1">
        <f t="array" ref="C708">IFERROR(INDEX('03.Muestra'!$F$8:$F$42,SMALL(IF("Página Web"='03.Muestra'!$D$8:$D$42,ROW('03.Muestra'!$F$8:$F$42)-MIN(ROW('03.Muestra'!$D$8:$D$42))+1,""),ROW()-702)),"")</f>
        <v>https://elecciones.comunidad.madrid/es/formaciones-politicas/impresos-electronicos</v>
      </c>
      <c r="D708" s="99" t="s">
        <v>176</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Listado de candidaturas</v>
      </c>
      <c r="C709" s="85" t="str" cm="1">
        <f t="array" ref="C709">IFERROR(INDEX('03.Muestra'!$F$8:$F$42,SMALL(IF("Página Web"='03.Muestra'!$D$8:$D$42,ROW('03.Muestra'!$F$8:$F$42)-MIN(ROW('03.Muestra'!$D$8:$D$42))+1,""),ROW()-702)),"")</f>
        <v>https://elecciones.comunidad.madrid/es/formaciones-politicas/listado-candidaturas-proclamadas</v>
      </c>
      <c r="D709" s="99" t="s">
        <v>176</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Partido Feminista de España</v>
      </c>
      <c r="C710" s="85" t="str" cm="1">
        <f t="array" ref="C710">IFERROR(INDEX('03.Muestra'!$F$8:$F$42,SMALL(IF("Página Web"='03.Muestra'!$D$8:$D$42,ROW('03.Muestra'!$F$8:$F$42)-MIN(ROW('03.Muestra'!$D$8:$D$42))+1,""),ROW()-702)),"")</f>
        <v>https://elecciones.comunidad.madrid/es/formaciones-politicas/listado-candidaturas/partido-feminista-espana</v>
      </c>
      <c r="D710" s="99" t="s">
        <v>176</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¿Dónde voto?</v>
      </c>
      <c r="C711" s="85" t="str" cm="1">
        <f t="array" ref="C711">IFERROR(INDEX('03.Muestra'!$F$8:$F$42,SMALL(IF("Página Web"='03.Muestra'!$D$8:$D$42,ROW('03.Muestra'!$F$8:$F$42)-MIN(ROW('03.Muestra'!$D$8:$D$42))+1,""),ROW()-702)),"")</f>
        <v>https://elecciones.comunidad.madrid/es/votar/donde-voto</v>
      </c>
      <c r="D711" s="99" t="s">
        <v>176</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Voto presencial</v>
      </c>
      <c r="C712" s="85" t="str" cm="1">
        <f t="array" ref="C712">IFERROR(INDEX('03.Muestra'!$F$8:$F$42,SMALL(IF("Página Web"='03.Muestra'!$D$8:$D$42,ROW('03.Muestra'!$F$8:$F$42)-MIN(ROW('03.Muestra'!$D$8:$D$42))+1,""),ROW()-702)),"")</f>
        <v>https://elecciones.comunidad.madrid/es/voto-local-electoral/voto-presencial</v>
      </c>
      <c r="D712" s="99" t="s">
        <v>176</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Ciudadanos temporalmente en el extranjero</v>
      </c>
      <c r="C713" s="85" t="str" cm="1">
        <f t="array" ref="C713">IFERROR(INDEX('03.Muestra'!$F$8:$F$42,SMALL(IF("Página Web"='03.Muestra'!$D$8:$D$42,ROW('03.Muestra'!$F$8:$F$42)-MIN(ROW('03.Muestra'!$D$8:$D$42))+1,""),ROW()-702)),"")</f>
        <v>https://elecciones.comunidad.madrid/es/voto-correo/solicitud-voto-temporalmente-ausentes</v>
      </c>
      <c r="D713" s="99" t="s">
        <v>176</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Nuevo votante</v>
      </c>
      <c r="C714" s="85" t="str" cm="1">
        <f t="array" ref="C714">IFERROR(INDEX('03.Muestra'!$F$8:$F$42,SMALL(IF("Página Web"='03.Muestra'!$D$8:$D$42,ROW('03.Muestra'!$F$8:$F$42)-MIN(ROW('03.Muestra'!$D$8:$D$42))+1,""),ROW()-702)),"")</f>
        <v>https://elecciones.comunidad.madrid/es/votar/nuevo-votante</v>
      </c>
      <c r="D714" s="99" t="s">
        <v>176</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Simulación método D'Hondt</v>
      </c>
      <c r="C715" s="85" t="str" cm="1">
        <f t="array" ref="C715">IFERROR(INDEX('03.Muestra'!$F$8:$F$42,SMALL(IF("Página Web"='03.Muestra'!$D$8:$D$42,ROW('03.Muestra'!$F$8:$F$42)-MIN(ROW('03.Muestra'!$D$8:$D$42))+1,""),ROW()-702)),"")</f>
        <v>https://elecciones.comunidad.madrid/es/informacion-util/simulacion-metodo-dhondt</v>
      </c>
      <c r="D715" s="99" t="s">
        <v>176</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Ley D'Hondt</v>
      </c>
      <c r="C716" s="85" t="str" cm="1">
        <f t="array" ref="C716">IFERROR(INDEX('03.Muestra'!$F$8:$F$42,SMALL(IF("Página Web"='03.Muestra'!$D$8:$D$42,ROW('03.Muestra'!$F$8:$F$42)-MIN(ROW('03.Muestra'!$D$8:$D$42))+1,""),ROW()-702)),"")</f>
        <v>https://elecciones.comunidad.madrid/es/resultados/ley_d_hondt</v>
      </c>
      <c r="D716" s="99" t="s">
        <v>176</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Voto por correo elector CERA en España</v>
      </c>
      <c r="C717" s="85" t="str" cm="1">
        <f t="array" ref="C717">IFERROR(INDEX('03.Muestra'!$F$8:$F$42,SMALL(IF("Página Web"='03.Muestra'!$D$8:$D$42,ROW('03.Muestra'!$F$8:$F$42)-MIN(ROW('03.Muestra'!$D$8:$D$42))+1,""),ROW()-702)),"")</f>
        <v>https://elecciones.comunidad.madrid/es/preguntas-frecuentes/voto-correo-electores-residentes-extranjero</v>
      </c>
      <c r="D717" s="99" t="s">
        <v>176</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https://elecciones.comunidad.madrid/es/buzon-de-sugerencias</v>
      </c>
      <c r="D718" s="99" t="s">
        <v>176</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Buscador</v>
      </c>
      <c r="C719" s="85" t="str" cm="1">
        <f t="array" ref="C719">IFERROR(INDEX('03.Muestra'!$F$8:$F$42,SMALL(IF("Página Web"='03.Muestra'!$D$8:$D$42,ROW('03.Muestra'!$F$8:$F$42)-MIN(ROW('03.Muestra'!$D$8:$D$42))+1,""),ROW()-702)),"")</f>
        <v>https://elecciones.comunidad.madrid/es/search?search_api_fulltext=partido</v>
      </c>
      <c r="D719" s="99" t="s">
        <v>176</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Legal-Privacidad</v>
      </c>
      <c r="C720" s="85" t="str" cm="1">
        <f t="array" ref="C720">IFERROR(INDEX('03.Muestra'!$F$8:$F$42,SMALL(IF("Página Web"='03.Muestra'!$D$8:$D$42,ROW('03.Muestra'!$F$8:$F$42)-MIN(ROW('03.Muestra'!$D$8:$D$42))+1,""),ROW()-702)),"")</f>
        <v>https://elecciones.comunidad.madrid/es/aviso-legal</v>
      </c>
      <c r="D720" s="99" t="s">
        <v>176</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https://elecciones.comunidad.madrid/es/sitemap</v>
      </c>
      <c r="D721" s="99" t="s">
        <v>176</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Declaracion Accesibilidad</v>
      </c>
      <c r="C722" s="85" t="str" cm="1">
        <f t="array" ref="C722">IFERROR(INDEX('03.Muestra'!$F$8:$F$42,SMALL(IF("Página Web"='03.Muestra'!$D$8:$D$42,ROW('03.Muestra'!$F$8:$F$42)-MIN(ROW('03.Muestra'!$D$8:$D$42))+1,""),ROW()-702)),"")</f>
        <v>https://elecciones.comunidad.madrid/es/accesibilidad</v>
      </c>
      <c r="D722" s="99" t="s">
        <v>176</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181</v>
      </c>
      <c r="B740" s="23" t="s">
        <v>173</v>
      </c>
      <c r="C740" s="24" t="s">
        <v>243</v>
      </c>
      <c r="D740" s="25" t="s">
        <v>183</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https://elecciones.comunidad.madrid/es</v>
      </c>
      <c r="D741" s="99" t="s">
        <v>176</v>
      </c>
      <c r="E741" s="79" t="str">
        <f t="shared" ref="E741:E775" si="38">IF(D741&lt;&gt;"",IF(AND(B741&lt;&gt;"",C741&lt;&gt;""),"","ERR"),"")</f>
        <v/>
      </c>
      <c r="F741" s="86" t="s">
        <v>185</v>
      </c>
      <c r="G741" s="87" t="s">
        <v>186</v>
      </c>
      <c r="H741" s="88" t="s">
        <v>184</v>
      </c>
      <c r="I741" s="89" t="s">
        <v>176</v>
      </c>
      <c r="J741" s="90" t="s">
        <v>174</v>
      </c>
      <c r="K741" s="179" t="s">
        <v>180</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Resultado Elecciones 28M 2023</v>
      </c>
      <c r="C742" s="85" t="str" cm="1">
        <f t="array" ref="C742">IFERROR(INDEX('03.Muestra'!$F$8:$F$42,SMALL(IF("Página Web"='03.Muestra'!$D$8:$D$42,ROW('03.Muestra'!$F$8:$F$42)-MIN(ROW('03.Muestra'!$D$8:$D$42))+1,""),ROW()-740)),"")</f>
        <v>https://elecciones.comunidad.madrid/es/resultados-elecciones-asamblea-madrid-28m-2023</v>
      </c>
      <c r="D742" s="99" t="s">
        <v>176</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20</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Normativa electoral</v>
      </c>
      <c r="C743" s="85" t="str" cm="1">
        <f t="array" ref="C743">IFERROR(INDEX('03.Muestra'!$F$8:$F$42,SMALL(IF("Página Web"='03.Muestra'!$D$8:$D$42,ROW('03.Muestra'!$F$8:$F$42)-MIN(ROW('03.Muestra'!$D$8:$D$42))+1,""),ROW()-740)),"")</f>
        <v>https://elecciones.comunidad.madrid/es/informacion-electoral/normativa-electoral</v>
      </c>
      <c r="D743" s="99" t="s">
        <v>176</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Calendario electoral</v>
      </c>
      <c r="C744" s="85" t="str" cm="1">
        <f t="array" ref="C744">IFERROR(INDEX('03.Muestra'!$F$8:$F$42,SMALL(IF("Página Web"='03.Muestra'!$D$8:$D$42,ROW('03.Muestra'!$F$8:$F$42)-MIN(ROW('03.Muestra'!$D$8:$D$42))+1,""),ROW()-740)),"")</f>
        <v>https://elecciones.comunidad.madrid/es/informacion-electoral/calendario-electoral</v>
      </c>
      <c r="D744" s="99" t="s">
        <v>176</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Direcciones y teléfonos</v>
      </c>
      <c r="C745" s="85" t="str" cm="1">
        <f t="array" ref="C745">IFERROR(INDEX('03.Muestra'!$F$8:$F$42,SMALL(IF("Página Web"='03.Muestra'!$D$8:$D$42,ROW('03.Muestra'!$F$8:$F$42)-MIN(ROW('03.Muestra'!$D$8:$D$42))+1,""),ROW()-740)),"")</f>
        <v>https://elecciones.comunidad.madrid/es/juntas-electorales/direcciones-telefonos</v>
      </c>
      <c r="D745" s="99" t="s">
        <v>176</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Impresos electrónicos</v>
      </c>
      <c r="C746" s="85" t="str" cm="1">
        <f t="array" ref="C746">IFERROR(INDEX('03.Muestra'!$F$8:$F$42,SMALL(IF("Página Web"='03.Muestra'!$D$8:$D$42,ROW('03.Muestra'!$F$8:$F$42)-MIN(ROW('03.Muestra'!$D$8:$D$42))+1,""),ROW()-740)),"")</f>
        <v>https://elecciones.comunidad.madrid/es/formaciones-politicas/impresos-electronicos</v>
      </c>
      <c r="D746" s="99" t="s">
        <v>176</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Listado de candidaturas</v>
      </c>
      <c r="C747" s="85" t="str" cm="1">
        <f t="array" ref="C747">IFERROR(INDEX('03.Muestra'!$F$8:$F$42,SMALL(IF("Página Web"='03.Muestra'!$D$8:$D$42,ROW('03.Muestra'!$F$8:$F$42)-MIN(ROW('03.Muestra'!$D$8:$D$42))+1,""),ROW()-740)),"")</f>
        <v>https://elecciones.comunidad.madrid/es/formaciones-politicas/listado-candidaturas-proclamadas</v>
      </c>
      <c r="D747" s="99" t="s">
        <v>176</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Partido Feminista de España</v>
      </c>
      <c r="C748" s="85" t="str" cm="1">
        <f t="array" ref="C748">IFERROR(INDEX('03.Muestra'!$F$8:$F$42,SMALL(IF("Página Web"='03.Muestra'!$D$8:$D$42,ROW('03.Muestra'!$F$8:$F$42)-MIN(ROW('03.Muestra'!$D$8:$D$42))+1,""),ROW()-740)),"")</f>
        <v>https://elecciones.comunidad.madrid/es/formaciones-politicas/listado-candidaturas/partido-feminista-espana</v>
      </c>
      <c r="D748" s="99" t="s">
        <v>176</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¿Dónde voto?</v>
      </c>
      <c r="C749" s="85" t="str" cm="1">
        <f t="array" ref="C749">IFERROR(INDEX('03.Muestra'!$F$8:$F$42,SMALL(IF("Página Web"='03.Muestra'!$D$8:$D$42,ROW('03.Muestra'!$F$8:$F$42)-MIN(ROW('03.Muestra'!$D$8:$D$42))+1,""),ROW()-740)),"")</f>
        <v>https://elecciones.comunidad.madrid/es/votar/donde-voto</v>
      </c>
      <c r="D749" s="99" t="s">
        <v>176</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Voto presencial</v>
      </c>
      <c r="C750" s="85" t="str" cm="1">
        <f t="array" ref="C750">IFERROR(INDEX('03.Muestra'!$F$8:$F$42,SMALL(IF("Página Web"='03.Muestra'!$D$8:$D$42,ROW('03.Muestra'!$F$8:$F$42)-MIN(ROW('03.Muestra'!$D$8:$D$42))+1,""),ROW()-740)),"")</f>
        <v>https://elecciones.comunidad.madrid/es/voto-local-electoral/voto-presencial</v>
      </c>
      <c r="D750" s="99" t="s">
        <v>176</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Ciudadanos temporalmente en el extranjero</v>
      </c>
      <c r="C751" s="85" t="str" cm="1">
        <f t="array" ref="C751">IFERROR(INDEX('03.Muestra'!$F$8:$F$42,SMALL(IF("Página Web"='03.Muestra'!$D$8:$D$42,ROW('03.Muestra'!$F$8:$F$42)-MIN(ROW('03.Muestra'!$D$8:$D$42))+1,""),ROW()-740)),"")</f>
        <v>https://elecciones.comunidad.madrid/es/voto-correo/solicitud-voto-temporalmente-ausentes</v>
      </c>
      <c r="D751" s="99" t="s">
        <v>176</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Nuevo votante</v>
      </c>
      <c r="C752" s="85" t="str" cm="1">
        <f t="array" ref="C752">IFERROR(INDEX('03.Muestra'!$F$8:$F$42,SMALL(IF("Página Web"='03.Muestra'!$D$8:$D$42,ROW('03.Muestra'!$F$8:$F$42)-MIN(ROW('03.Muestra'!$D$8:$D$42))+1,""),ROW()-740)),"")</f>
        <v>https://elecciones.comunidad.madrid/es/votar/nuevo-votante</v>
      </c>
      <c r="D752" s="99" t="s">
        <v>176</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Simulación método D'Hondt</v>
      </c>
      <c r="C753" s="85" t="str" cm="1">
        <f t="array" ref="C753">IFERROR(INDEX('03.Muestra'!$F$8:$F$42,SMALL(IF("Página Web"='03.Muestra'!$D$8:$D$42,ROW('03.Muestra'!$F$8:$F$42)-MIN(ROW('03.Muestra'!$D$8:$D$42))+1,""),ROW()-740)),"")</f>
        <v>https://elecciones.comunidad.madrid/es/informacion-util/simulacion-metodo-dhondt</v>
      </c>
      <c r="D753" s="99" t="s">
        <v>176</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Ley D'Hondt</v>
      </c>
      <c r="C754" s="85" t="str" cm="1">
        <f t="array" ref="C754">IFERROR(INDEX('03.Muestra'!$F$8:$F$42,SMALL(IF("Página Web"='03.Muestra'!$D$8:$D$42,ROW('03.Muestra'!$F$8:$F$42)-MIN(ROW('03.Muestra'!$D$8:$D$42))+1,""),ROW()-740)),"")</f>
        <v>https://elecciones.comunidad.madrid/es/resultados/ley_d_hondt</v>
      </c>
      <c r="D754" s="99" t="s">
        <v>176</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Voto por correo elector CERA en España</v>
      </c>
      <c r="C755" s="85" t="str" cm="1">
        <f t="array" ref="C755">IFERROR(INDEX('03.Muestra'!$F$8:$F$42,SMALL(IF("Página Web"='03.Muestra'!$D$8:$D$42,ROW('03.Muestra'!$F$8:$F$42)-MIN(ROW('03.Muestra'!$D$8:$D$42))+1,""),ROW()-740)),"")</f>
        <v>https://elecciones.comunidad.madrid/es/preguntas-frecuentes/voto-correo-electores-residentes-extranjero</v>
      </c>
      <c r="D755" s="99" t="s">
        <v>176</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Contacto</v>
      </c>
      <c r="C756" s="85" t="str" cm="1">
        <f t="array" ref="C756">IFERROR(INDEX('03.Muestra'!$F$8:$F$42,SMALL(IF("Página Web"='03.Muestra'!$D$8:$D$42,ROW('03.Muestra'!$F$8:$F$42)-MIN(ROW('03.Muestra'!$D$8:$D$42))+1,""),ROW()-740)),"")</f>
        <v>https://elecciones.comunidad.madrid/es/buzon-de-sugerencias</v>
      </c>
      <c r="D756" s="99" t="s">
        <v>176</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Buscador</v>
      </c>
      <c r="C757" s="85" t="str" cm="1">
        <f t="array" ref="C757">IFERROR(INDEX('03.Muestra'!$F$8:$F$42,SMALL(IF("Página Web"='03.Muestra'!$D$8:$D$42,ROW('03.Muestra'!$F$8:$F$42)-MIN(ROW('03.Muestra'!$D$8:$D$42))+1,""),ROW()-740)),"")</f>
        <v>https://elecciones.comunidad.madrid/es/search?search_api_fulltext=partido</v>
      </c>
      <c r="D757" s="99" t="s">
        <v>176</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Aviso Legal-Privacidad</v>
      </c>
      <c r="C758" s="85" t="str" cm="1">
        <f t="array" ref="C758">IFERROR(INDEX('03.Muestra'!$F$8:$F$42,SMALL(IF("Página Web"='03.Muestra'!$D$8:$D$42,ROW('03.Muestra'!$F$8:$F$42)-MIN(ROW('03.Muestra'!$D$8:$D$42))+1,""),ROW()-740)),"")</f>
        <v>https://elecciones.comunidad.madrid/es/aviso-legal</v>
      </c>
      <c r="D758" s="99" t="s">
        <v>176</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Mapa Web</v>
      </c>
      <c r="C759" s="85" t="str" cm="1">
        <f t="array" ref="C759">IFERROR(INDEX('03.Muestra'!$F$8:$F$42,SMALL(IF("Página Web"='03.Muestra'!$D$8:$D$42,ROW('03.Muestra'!$F$8:$F$42)-MIN(ROW('03.Muestra'!$D$8:$D$42))+1,""),ROW()-740)),"")</f>
        <v>https://elecciones.comunidad.madrid/es/sitemap</v>
      </c>
      <c r="D759" s="99" t="s">
        <v>176</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Declaracion Accesibilidad</v>
      </c>
      <c r="C760" s="85" t="str" cm="1">
        <f t="array" ref="C760">IFERROR(INDEX('03.Muestra'!$F$8:$F$42,SMALL(IF("Página Web"='03.Muestra'!$D$8:$D$42,ROW('03.Muestra'!$F$8:$F$42)-MIN(ROW('03.Muestra'!$D$8:$D$42))+1,""),ROW()-740)),"")</f>
        <v>https://elecciones.comunidad.madrid/es/accesibilidad</v>
      </c>
      <c r="D760" s="99" t="s">
        <v>176</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ref="D761:D775" si="39">IF(AND(B761&lt;&gt;"",C761&lt;&gt;""),"N/T","")</f>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181</v>
      </c>
      <c r="B778" s="23" t="s">
        <v>173</v>
      </c>
      <c r="C778" s="24" t="s">
        <v>244</v>
      </c>
      <c r="D778" s="25" t="s">
        <v>183</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https://elecciones.comunidad.madrid/es</v>
      </c>
      <c r="D779" s="99" t="s">
        <v>174</v>
      </c>
      <c r="E779" s="79" t="str">
        <f t="shared" ref="E779:E813" si="40">IF(D779&lt;&gt;"",IF(AND(B779&lt;&gt;"",C779&lt;&gt;""),"","ERR"),"")</f>
        <v/>
      </c>
      <c r="F779" s="86" t="s">
        <v>185</v>
      </c>
      <c r="G779" s="87" t="s">
        <v>186</v>
      </c>
      <c r="H779" s="88" t="s">
        <v>184</v>
      </c>
      <c r="I779" s="89" t="s">
        <v>176</v>
      </c>
      <c r="J779" s="90" t="s">
        <v>174</v>
      </c>
      <c r="K779" s="179" t="s">
        <v>180</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Resultado Elecciones 28M 2023</v>
      </c>
      <c r="C780" s="85" t="str" cm="1">
        <f t="array" ref="C780">IFERROR(INDEX('03.Muestra'!$F$8:$F$42,SMALL(IF("Página Web"='03.Muestra'!$D$8:$D$42,ROW('03.Muestra'!$F$8:$F$42)-MIN(ROW('03.Muestra'!$D$8:$D$42))+1,""),ROW()-778)),"")</f>
        <v>https://elecciones.comunidad.madrid/es/resultados-elecciones-asamblea-madrid-28m-2023</v>
      </c>
      <c r="D780" s="99" t="s">
        <v>174</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20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Normativa electoral</v>
      </c>
      <c r="C781" s="85" t="str" cm="1">
        <f t="array" ref="C781">IFERROR(INDEX('03.Muestra'!$F$8:$F$42,SMALL(IF("Página Web"='03.Muestra'!$D$8:$D$42,ROW('03.Muestra'!$F$8:$F$42)-MIN(ROW('03.Muestra'!$D$8:$D$42))+1,""),ROW()-778)),"")</f>
        <v>https://elecciones.comunidad.madrid/es/informacion-electoral/normativa-electoral</v>
      </c>
      <c r="D781" s="99" t="s">
        <v>174</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Calendario electoral</v>
      </c>
      <c r="C782" s="85" t="str" cm="1">
        <f t="array" ref="C782">IFERROR(INDEX('03.Muestra'!$F$8:$F$42,SMALL(IF("Página Web"='03.Muestra'!$D$8:$D$42,ROW('03.Muestra'!$F$8:$F$42)-MIN(ROW('03.Muestra'!$D$8:$D$42))+1,""),ROW()-778)),"")</f>
        <v>https://elecciones.comunidad.madrid/es/informacion-electoral/calendario-electoral</v>
      </c>
      <c r="D782" s="99" t="s">
        <v>174</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Direcciones y teléfonos</v>
      </c>
      <c r="C783" s="85" t="str" cm="1">
        <f t="array" ref="C783">IFERROR(INDEX('03.Muestra'!$F$8:$F$42,SMALL(IF("Página Web"='03.Muestra'!$D$8:$D$42,ROW('03.Muestra'!$F$8:$F$42)-MIN(ROW('03.Muestra'!$D$8:$D$42))+1,""),ROW()-778)),"")</f>
        <v>https://elecciones.comunidad.madrid/es/juntas-electorales/direcciones-telefonos</v>
      </c>
      <c r="D783" s="99" t="s">
        <v>174</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Impresos electrónicos</v>
      </c>
      <c r="C784" s="85" t="str" cm="1">
        <f t="array" ref="C784">IFERROR(INDEX('03.Muestra'!$F$8:$F$42,SMALL(IF("Página Web"='03.Muestra'!$D$8:$D$42,ROW('03.Muestra'!$F$8:$F$42)-MIN(ROW('03.Muestra'!$D$8:$D$42))+1,""),ROW()-778)),"")</f>
        <v>https://elecciones.comunidad.madrid/es/formaciones-politicas/impresos-electronicos</v>
      </c>
      <c r="D784" s="99" t="s">
        <v>174</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Listado de candidaturas</v>
      </c>
      <c r="C785" s="85" t="str" cm="1">
        <f t="array" ref="C785">IFERROR(INDEX('03.Muestra'!$F$8:$F$42,SMALL(IF("Página Web"='03.Muestra'!$D$8:$D$42,ROW('03.Muestra'!$F$8:$F$42)-MIN(ROW('03.Muestra'!$D$8:$D$42))+1,""),ROW()-778)),"")</f>
        <v>https://elecciones.comunidad.madrid/es/formaciones-politicas/listado-candidaturas-proclamadas</v>
      </c>
      <c r="D785" s="99" t="s">
        <v>174</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Partido Feminista de España</v>
      </c>
      <c r="C786" s="85" t="str" cm="1">
        <f t="array" ref="C786">IFERROR(INDEX('03.Muestra'!$F$8:$F$42,SMALL(IF("Página Web"='03.Muestra'!$D$8:$D$42,ROW('03.Muestra'!$F$8:$F$42)-MIN(ROW('03.Muestra'!$D$8:$D$42))+1,""),ROW()-778)),"")</f>
        <v>https://elecciones.comunidad.madrid/es/formaciones-politicas/listado-candidaturas/partido-feminista-espana</v>
      </c>
      <c r="D786" s="99" t="s">
        <v>174</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¿Dónde voto?</v>
      </c>
      <c r="C787" s="85" t="str" cm="1">
        <f t="array" ref="C787">IFERROR(INDEX('03.Muestra'!$F$8:$F$42,SMALL(IF("Página Web"='03.Muestra'!$D$8:$D$42,ROW('03.Muestra'!$F$8:$F$42)-MIN(ROW('03.Muestra'!$D$8:$D$42))+1,""),ROW()-778)),"")</f>
        <v>https://elecciones.comunidad.madrid/es/votar/donde-voto</v>
      </c>
      <c r="D787" s="99" t="s">
        <v>174</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Voto presencial</v>
      </c>
      <c r="C788" s="85" t="str" cm="1">
        <f t="array" ref="C788">IFERROR(INDEX('03.Muestra'!$F$8:$F$42,SMALL(IF("Página Web"='03.Muestra'!$D$8:$D$42,ROW('03.Muestra'!$F$8:$F$42)-MIN(ROW('03.Muestra'!$D$8:$D$42))+1,""),ROW()-778)),"")</f>
        <v>https://elecciones.comunidad.madrid/es/voto-local-electoral/voto-presencial</v>
      </c>
      <c r="D788" s="99" t="s">
        <v>174</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Ciudadanos temporalmente en el extranjero</v>
      </c>
      <c r="C789" s="85" t="str" cm="1">
        <f t="array" ref="C789">IFERROR(INDEX('03.Muestra'!$F$8:$F$42,SMALL(IF("Página Web"='03.Muestra'!$D$8:$D$42,ROW('03.Muestra'!$F$8:$F$42)-MIN(ROW('03.Muestra'!$D$8:$D$42))+1,""),ROW()-778)),"")</f>
        <v>https://elecciones.comunidad.madrid/es/voto-correo/solicitud-voto-temporalmente-ausentes</v>
      </c>
      <c r="D789" s="99" t="s">
        <v>174</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Nuevo votante</v>
      </c>
      <c r="C790" s="85" t="str" cm="1">
        <f t="array" ref="C790">IFERROR(INDEX('03.Muestra'!$F$8:$F$42,SMALL(IF("Página Web"='03.Muestra'!$D$8:$D$42,ROW('03.Muestra'!$F$8:$F$42)-MIN(ROW('03.Muestra'!$D$8:$D$42))+1,""),ROW()-778)),"")</f>
        <v>https://elecciones.comunidad.madrid/es/votar/nuevo-votante</v>
      </c>
      <c r="D790" s="99" t="s">
        <v>174</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Simulación método D'Hondt</v>
      </c>
      <c r="C791" s="85" t="str" cm="1">
        <f t="array" ref="C791">IFERROR(INDEX('03.Muestra'!$F$8:$F$42,SMALL(IF("Página Web"='03.Muestra'!$D$8:$D$42,ROW('03.Muestra'!$F$8:$F$42)-MIN(ROW('03.Muestra'!$D$8:$D$42))+1,""),ROW()-778)),"")</f>
        <v>https://elecciones.comunidad.madrid/es/informacion-util/simulacion-metodo-dhondt</v>
      </c>
      <c r="D791" s="99" t="s">
        <v>174</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Ley D'Hondt</v>
      </c>
      <c r="C792" s="85" t="str" cm="1">
        <f t="array" ref="C792">IFERROR(INDEX('03.Muestra'!$F$8:$F$42,SMALL(IF("Página Web"='03.Muestra'!$D$8:$D$42,ROW('03.Muestra'!$F$8:$F$42)-MIN(ROW('03.Muestra'!$D$8:$D$42))+1,""),ROW()-778)),"")</f>
        <v>https://elecciones.comunidad.madrid/es/resultados/ley_d_hondt</v>
      </c>
      <c r="D792" s="99" t="s">
        <v>174</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Voto por correo elector CERA en España</v>
      </c>
      <c r="C793" s="85" t="str" cm="1">
        <f t="array" ref="C793">IFERROR(INDEX('03.Muestra'!$F$8:$F$42,SMALL(IF("Página Web"='03.Muestra'!$D$8:$D$42,ROW('03.Muestra'!$F$8:$F$42)-MIN(ROW('03.Muestra'!$D$8:$D$42))+1,""),ROW()-778)),"")</f>
        <v>https://elecciones.comunidad.madrid/es/preguntas-frecuentes/voto-correo-electores-residentes-extranjero</v>
      </c>
      <c r="D793" s="99" t="s">
        <v>174</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Contacto</v>
      </c>
      <c r="C794" s="85" t="str" cm="1">
        <f t="array" ref="C794">IFERROR(INDEX('03.Muestra'!$F$8:$F$42,SMALL(IF("Página Web"='03.Muestra'!$D$8:$D$42,ROW('03.Muestra'!$F$8:$F$42)-MIN(ROW('03.Muestra'!$D$8:$D$42))+1,""),ROW()-778)),"")</f>
        <v>https://elecciones.comunidad.madrid/es/buzon-de-sugerencias</v>
      </c>
      <c r="D794" s="99" t="s">
        <v>174</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Buscador</v>
      </c>
      <c r="C795" s="85" t="str" cm="1">
        <f t="array" ref="C795">IFERROR(INDEX('03.Muestra'!$F$8:$F$42,SMALL(IF("Página Web"='03.Muestra'!$D$8:$D$42,ROW('03.Muestra'!$F$8:$F$42)-MIN(ROW('03.Muestra'!$D$8:$D$42))+1,""),ROW()-778)),"")</f>
        <v>https://elecciones.comunidad.madrid/es/search?search_api_fulltext=partido</v>
      </c>
      <c r="D795" s="99" t="s">
        <v>174</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Aviso Legal-Privacidad</v>
      </c>
      <c r="C796" s="85" t="str" cm="1">
        <f t="array" ref="C796">IFERROR(INDEX('03.Muestra'!$F$8:$F$42,SMALL(IF("Página Web"='03.Muestra'!$D$8:$D$42,ROW('03.Muestra'!$F$8:$F$42)-MIN(ROW('03.Muestra'!$D$8:$D$42))+1,""),ROW()-778)),"")</f>
        <v>https://elecciones.comunidad.madrid/es/aviso-legal</v>
      </c>
      <c r="D796" s="99" t="s">
        <v>174</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Mapa Web</v>
      </c>
      <c r="C797" s="85" t="str" cm="1">
        <f t="array" ref="C797">IFERROR(INDEX('03.Muestra'!$F$8:$F$42,SMALL(IF("Página Web"='03.Muestra'!$D$8:$D$42,ROW('03.Muestra'!$F$8:$F$42)-MIN(ROW('03.Muestra'!$D$8:$D$42))+1,""),ROW()-778)),"")</f>
        <v>https://elecciones.comunidad.madrid/es/sitemap</v>
      </c>
      <c r="D797" s="99" t="s">
        <v>174</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Declaracion Accesibilidad</v>
      </c>
      <c r="C798" s="85" t="str" cm="1">
        <f t="array" ref="C798">IFERROR(INDEX('03.Muestra'!$F$8:$F$42,SMALL(IF("Página Web"='03.Muestra'!$D$8:$D$42,ROW('03.Muestra'!$F$8:$F$42)-MIN(ROW('03.Muestra'!$D$8:$D$42))+1,""),ROW()-778)),"")</f>
        <v>https://elecciones.comunidad.madrid/es/accesibilidad</v>
      </c>
      <c r="D798" s="99" t="s">
        <v>174</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ref="D799:D813" si="41">IF(AND(B799&lt;&gt;"",C799&lt;&gt;""),"N/T","")</f>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181</v>
      </c>
      <c r="B816" s="23" t="s">
        <v>173</v>
      </c>
      <c r="C816" s="24" t="s">
        <v>245</v>
      </c>
      <c r="D816" s="25" t="s">
        <v>183</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https://elecciones.comunidad.madrid/es</v>
      </c>
      <c r="D817" s="99" t="s">
        <v>184</v>
      </c>
      <c r="E817" s="79" t="str">
        <f t="shared" ref="E817:E851" si="42">IF(D817&lt;&gt;"",IF(AND(B817&lt;&gt;"",C817&lt;&gt;""),"","ERR"),"")</f>
        <v/>
      </c>
      <c r="F817" s="86" t="s">
        <v>185</v>
      </c>
      <c r="G817" s="87" t="s">
        <v>186</v>
      </c>
      <c r="H817" s="88" t="s">
        <v>184</v>
      </c>
      <c r="I817" s="89" t="s">
        <v>176</v>
      </c>
      <c r="J817" s="90" t="s">
        <v>174</v>
      </c>
      <c r="K817" s="179" t="s">
        <v>180</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Resultado Elecciones 28M 2023</v>
      </c>
      <c r="C818" s="85" t="str" cm="1">
        <f t="array" ref="C818">IFERROR(INDEX('03.Muestra'!$F$8:$F$42,SMALL(IF("Página Web"='03.Muestra'!$D$8:$D$42,ROW('03.Muestra'!$F$8:$F$42)-MIN(ROW('03.Muestra'!$D$8:$D$42))+1,""),ROW()-816)),"")</f>
        <v>https://elecciones.comunidad.madrid/es/resultados-elecciones-asamblea-madrid-28m-2023</v>
      </c>
      <c r="D818" s="99" t="s">
        <v>184</v>
      </c>
      <c r="E818" s="79" t="str">
        <f t="shared" si="42"/>
        <v/>
      </c>
      <c r="F818" s="91">
        <f ca="1">COUNTIF($D817:INDIRECT("$D" &amp;  SUM(ROW()-1,'03.Muestra'!$D$45)-1),F817)</f>
        <v>0</v>
      </c>
      <c r="G818" s="91">
        <f ca="1">COUNTIF($D817:INDIRECT("$D" &amp;  SUM(ROW()-1,'03.Muestra'!$D$45)-1),G817)</f>
        <v>0</v>
      </c>
      <c r="H818" s="91">
        <f ca="1">COUNTIF($D817:INDIRECT("$D" &amp;  SUM(ROW()-1,'03.Muestra'!$D$45)-1),H817)</f>
        <v>20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Normativa electoral</v>
      </c>
      <c r="C819" s="85" t="str" cm="1">
        <f t="array" ref="C819">IFERROR(INDEX('03.Muestra'!$F$8:$F$42,SMALL(IF("Página Web"='03.Muestra'!$D$8:$D$42,ROW('03.Muestra'!$F$8:$F$42)-MIN(ROW('03.Muestra'!$D$8:$D$42))+1,""),ROW()-816)),"")</f>
        <v>https://elecciones.comunidad.madrid/es/informacion-electoral/normativa-electoral</v>
      </c>
      <c r="D819" s="99" t="s">
        <v>184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Calendario electoral</v>
      </c>
      <c r="C820" s="85" t="str" cm="1">
        <f t="array" ref="C820">IFERROR(INDEX('03.Muestra'!$F$8:$F$42,SMALL(IF("Página Web"='03.Muestra'!$D$8:$D$42,ROW('03.Muestra'!$F$8:$F$42)-MIN(ROW('03.Muestra'!$D$8:$D$42))+1,""),ROW()-816)),"")</f>
        <v>https://elecciones.comunidad.madrid/es/informacion-electoral/calendario-electoral</v>
      </c>
      <c r="D820" s="99" t="s">
        <v>184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Direcciones y teléfonos</v>
      </c>
      <c r="C821" s="85" t="str" cm="1">
        <f t="array" ref="C821">IFERROR(INDEX('03.Muestra'!$F$8:$F$42,SMALL(IF("Página Web"='03.Muestra'!$D$8:$D$42,ROW('03.Muestra'!$F$8:$F$42)-MIN(ROW('03.Muestra'!$D$8:$D$42))+1,""),ROW()-816)),"")</f>
        <v>https://elecciones.comunidad.madrid/es/juntas-electorales/direcciones-telefonos</v>
      </c>
      <c r="D821" s="99" t="s">
        <v>184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Impresos electrónicos</v>
      </c>
      <c r="C822" s="85" t="str" cm="1">
        <f t="array" ref="C822">IFERROR(INDEX('03.Muestra'!$F$8:$F$42,SMALL(IF("Página Web"='03.Muestra'!$D$8:$D$42,ROW('03.Muestra'!$F$8:$F$42)-MIN(ROW('03.Muestra'!$D$8:$D$42))+1,""),ROW()-816)),"")</f>
        <v>https://elecciones.comunidad.madrid/es/formaciones-politicas/impresos-electronicos</v>
      </c>
      <c r="D822" s="99" t="s">
        <v>184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Listado de candidaturas</v>
      </c>
      <c r="C823" s="85" t="str" cm="1">
        <f t="array" ref="C823">IFERROR(INDEX('03.Muestra'!$F$8:$F$42,SMALL(IF("Página Web"='03.Muestra'!$D$8:$D$42,ROW('03.Muestra'!$F$8:$F$42)-MIN(ROW('03.Muestra'!$D$8:$D$42))+1,""),ROW()-816)),"")</f>
        <v>https://elecciones.comunidad.madrid/es/formaciones-politicas/listado-candidaturas-proclamadas</v>
      </c>
      <c r="D823" s="99" t="s">
        <v>184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Partido Feminista de España</v>
      </c>
      <c r="C824" s="85" t="str" cm="1">
        <f t="array" ref="C824">IFERROR(INDEX('03.Muestra'!$F$8:$F$42,SMALL(IF("Página Web"='03.Muestra'!$D$8:$D$42,ROW('03.Muestra'!$F$8:$F$42)-MIN(ROW('03.Muestra'!$D$8:$D$42))+1,""),ROW()-816)),"")</f>
        <v>https://elecciones.comunidad.madrid/es/formaciones-politicas/listado-candidaturas/partido-feminista-espana</v>
      </c>
      <c r="D824" s="99" t="s">
        <v>184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¿Dónde voto?</v>
      </c>
      <c r="C825" s="85" t="str" cm="1">
        <f t="array" ref="C825">IFERROR(INDEX('03.Muestra'!$F$8:$F$42,SMALL(IF("Página Web"='03.Muestra'!$D$8:$D$42,ROW('03.Muestra'!$F$8:$F$42)-MIN(ROW('03.Muestra'!$D$8:$D$42))+1,""),ROW()-816)),"")</f>
        <v>https://elecciones.comunidad.madrid/es/votar/donde-voto</v>
      </c>
      <c r="D825" s="99" t="s">
        <v>184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Voto presencial</v>
      </c>
      <c r="C826" s="85" t="str" cm="1">
        <f t="array" ref="C826">IFERROR(INDEX('03.Muestra'!$F$8:$F$42,SMALL(IF("Página Web"='03.Muestra'!$D$8:$D$42,ROW('03.Muestra'!$F$8:$F$42)-MIN(ROW('03.Muestra'!$D$8:$D$42))+1,""),ROW()-816)),"")</f>
        <v>https://elecciones.comunidad.madrid/es/voto-local-electoral/voto-presencial</v>
      </c>
      <c r="D826" s="99" t="s">
        <v>184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Ciudadanos temporalmente en el extranjero</v>
      </c>
      <c r="C827" s="85" t="str" cm="1">
        <f t="array" ref="C827">IFERROR(INDEX('03.Muestra'!$F$8:$F$42,SMALL(IF("Página Web"='03.Muestra'!$D$8:$D$42,ROW('03.Muestra'!$F$8:$F$42)-MIN(ROW('03.Muestra'!$D$8:$D$42))+1,""),ROW()-816)),"")</f>
        <v>https://elecciones.comunidad.madrid/es/voto-correo/solicitud-voto-temporalmente-ausentes</v>
      </c>
      <c r="D827" s="99" t="s">
        <v>184</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Nuevo votante</v>
      </c>
      <c r="C828" s="85" t="str" cm="1">
        <f t="array" ref="C828">IFERROR(INDEX('03.Muestra'!$F$8:$F$42,SMALL(IF("Página Web"='03.Muestra'!$D$8:$D$42,ROW('03.Muestra'!$F$8:$F$42)-MIN(ROW('03.Muestra'!$D$8:$D$42))+1,""),ROW()-816)),"")</f>
        <v>https://elecciones.comunidad.madrid/es/votar/nuevo-votante</v>
      </c>
      <c r="D828" s="99" t="s">
        <v>184</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Simulación método D'Hondt</v>
      </c>
      <c r="C829" s="85" t="str" cm="1">
        <f t="array" ref="C829">IFERROR(INDEX('03.Muestra'!$F$8:$F$42,SMALL(IF("Página Web"='03.Muestra'!$D$8:$D$42,ROW('03.Muestra'!$F$8:$F$42)-MIN(ROW('03.Muestra'!$D$8:$D$42))+1,""),ROW()-816)),"")</f>
        <v>https://elecciones.comunidad.madrid/es/informacion-util/simulacion-metodo-dhondt</v>
      </c>
      <c r="D829" s="99" t="s">
        <v>184</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Ley D'Hondt</v>
      </c>
      <c r="C830" s="85" t="str" cm="1">
        <f t="array" ref="C830">IFERROR(INDEX('03.Muestra'!$F$8:$F$42,SMALL(IF("Página Web"='03.Muestra'!$D$8:$D$42,ROW('03.Muestra'!$F$8:$F$42)-MIN(ROW('03.Muestra'!$D$8:$D$42))+1,""),ROW()-816)),"")</f>
        <v>https://elecciones.comunidad.madrid/es/resultados/ley_d_hondt</v>
      </c>
      <c r="D830" s="99" t="s">
        <v>184</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Voto por correo elector CERA en España</v>
      </c>
      <c r="C831" s="85" t="str" cm="1">
        <f t="array" ref="C831">IFERROR(INDEX('03.Muestra'!$F$8:$F$42,SMALL(IF("Página Web"='03.Muestra'!$D$8:$D$42,ROW('03.Muestra'!$F$8:$F$42)-MIN(ROW('03.Muestra'!$D$8:$D$42))+1,""),ROW()-816)),"")</f>
        <v>https://elecciones.comunidad.madrid/es/preguntas-frecuentes/voto-correo-electores-residentes-extranjero</v>
      </c>
      <c r="D831" s="99" t="s">
        <v>184</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Contacto</v>
      </c>
      <c r="C832" s="85" t="str" cm="1">
        <f t="array" ref="C832">IFERROR(INDEX('03.Muestra'!$F$8:$F$42,SMALL(IF("Página Web"='03.Muestra'!$D$8:$D$42,ROW('03.Muestra'!$F$8:$F$42)-MIN(ROW('03.Muestra'!$D$8:$D$42))+1,""),ROW()-816)),"")</f>
        <v>https://elecciones.comunidad.madrid/es/buzon-de-sugerencias</v>
      </c>
      <c r="D832" s="99" t="s">
        <v>184</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Buscador</v>
      </c>
      <c r="C833" s="85" t="str" cm="1">
        <f t="array" ref="C833">IFERROR(INDEX('03.Muestra'!$F$8:$F$42,SMALL(IF("Página Web"='03.Muestra'!$D$8:$D$42,ROW('03.Muestra'!$F$8:$F$42)-MIN(ROW('03.Muestra'!$D$8:$D$42))+1,""),ROW()-816)),"")</f>
        <v>https://elecciones.comunidad.madrid/es/search?search_api_fulltext=partido</v>
      </c>
      <c r="D833" s="99" t="s">
        <v>184</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Aviso Legal-Privacidad</v>
      </c>
      <c r="C834" s="85" t="str" cm="1">
        <f t="array" ref="C834">IFERROR(INDEX('03.Muestra'!$F$8:$F$42,SMALL(IF("Página Web"='03.Muestra'!$D$8:$D$42,ROW('03.Muestra'!$F$8:$F$42)-MIN(ROW('03.Muestra'!$D$8:$D$42))+1,""),ROW()-816)),"")</f>
        <v>https://elecciones.comunidad.madrid/es/aviso-legal</v>
      </c>
      <c r="D834" s="99" t="s">
        <v>184</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Mapa Web</v>
      </c>
      <c r="C835" s="85" t="str" cm="1">
        <f t="array" ref="C835">IFERROR(INDEX('03.Muestra'!$F$8:$F$42,SMALL(IF("Página Web"='03.Muestra'!$D$8:$D$42,ROW('03.Muestra'!$F$8:$F$42)-MIN(ROW('03.Muestra'!$D$8:$D$42))+1,""),ROW()-816)),"")</f>
        <v>https://elecciones.comunidad.madrid/es/sitemap</v>
      </c>
      <c r="D835" s="99" t="s">
        <v>184</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Declaracion Accesibilidad</v>
      </c>
      <c r="C836" s="85" t="str" cm="1">
        <f t="array" ref="C836">IFERROR(INDEX('03.Muestra'!$F$8:$F$42,SMALL(IF("Página Web"='03.Muestra'!$D$8:$D$42,ROW('03.Muestra'!$F$8:$F$42)-MIN(ROW('03.Muestra'!$D$8:$D$42))+1,""),ROW()-816)),"")</f>
        <v>https://elecciones.comunidad.madrid/es/accesibilidad</v>
      </c>
      <c r="D836" s="99" t="s">
        <v>184</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ref="D837:D851" si="43">IF(AND(B837&lt;&gt;"",C837&lt;&gt;""),"N/T","")</f>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181</v>
      </c>
      <c r="B854" s="23" t="s">
        <v>173</v>
      </c>
      <c r="C854" s="24" t="s">
        <v>246</v>
      </c>
      <c r="D854" s="25" t="s">
        <v>183</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https://elecciones.comunidad.madrid/es</v>
      </c>
      <c r="D855" s="99" t="s">
        <v>174</v>
      </c>
      <c r="E855" s="79" t="str">
        <f t="shared" ref="E855:E889" si="44">IF(D855&lt;&gt;"",IF(AND(B855&lt;&gt;"",C855&lt;&gt;""),"","ERR"),"")</f>
        <v/>
      </c>
      <c r="F855" s="86" t="s">
        <v>185</v>
      </c>
      <c r="G855" s="87" t="s">
        <v>186</v>
      </c>
      <c r="H855" s="88" t="s">
        <v>184</v>
      </c>
      <c r="I855" s="89" t="s">
        <v>176</v>
      </c>
      <c r="J855" s="90" t="s">
        <v>174</v>
      </c>
      <c r="K855" s="179" t="s">
        <v>180</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Resultado Elecciones 28M 2023</v>
      </c>
      <c r="C856" s="85" t="str" cm="1">
        <f t="array" ref="C856">IFERROR(INDEX('03.Muestra'!$F$8:$F$42,SMALL(IF("Página Web"='03.Muestra'!$D$8:$D$42,ROW('03.Muestra'!$F$8:$F$42)-MIN(ROW('03.Muestra'!$D$8:$D$42))+1,""),ROW()-854)),"")</f>
        <v>https://elecciones.comunidad.madrid/es/resultados-elecciones-asamblea-madrid-28m-2023</v>
      </c>
      <c r="D856" s="99" t="s">
        <v>174</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20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Normativa electoral</v>
      </c>
      <c r="C857" s="85" t="str" cm="1">
        <f t="array" ref="C857">IFERROR(INDEX('03.Muestra'!$F$8:$F$42,SMALL(IF("Página Web"='03.Muestra'!$D$8:$D$42,ROW('03.Muestra'!$F$8:$F$42)-MIN(ROW('03.Muestra'!$D$8:$D$42))+1,""),ROW()-854)),"")</f>
        <v>https://elecciones.comunidad.madrid/es/informacion-electoral/normativa-electoral</v>
      </c>
      <c r="D857" s="99" t="s">
        <v>174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Calendario electoral</v>
      </c>
      <c r="C858" s="85" t="str" cm="1">
        <f t="array" ref="C858">IFERROR(INDEX('03.Muestra'!$F$8:$F$42,SMALL(IF("Página Web"='03.Muestra'!$D$8:$D$42,ROW('03.Muestra'!$F$8:$F$42)-MIN(ROW('03.Muestra'!$D$8:$D$42))+1,""),ROW()-854)),"")</f>
        <v>https://elecciones.comunidad.madrid/es/informacion-electoral/calendario-electoral</v>
      </c>
      <c r="D858" s="99" t="s">
        <v>174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Direcciones y teléfonos</v>
      </c>
      <c r="C859" s="85" t="str" cm="1">
        <f t="array" ref="C859">IFERROR(INDEX('03.Muestra'!$F$8:$F$42,SMALL(IF("Página Web"='03.Muestra'!$D$8:$D$42,ROW('03.Muestra'!$F$8:$F$42)-MIN(ROW('03.Muestra'!$D$8:$D$42))+1,""),ROW()-854)),"")</f>
        <v>https://elecciones.comunidad.madrid/es/juntas-electorales/direcciones-telefonos</v>
      </c>
      <c r="D859" s="99" t="s">
        <v>174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Impresos electrónicos</v>
      </c>
      <c r="C860" s="85" t="str" cm="1">
        <f t="array" ref="C860">IFERROR(INDEX('03.Muestra'!$F$8:$F$42,SMALL(IF("Página Web"='03.Muestra'!$D$8:$D$42,ROW('03.Muestra'!$F$8:$F$42)-MIN(ROW('03.Muestra'!$D$8:$D$42))+1,""),ROW()-854)),"")</f>
        <v>https://elecciones.comunidad.madrid/es/formaciones-politicas/impresos-electronicos</v>
      </c>
      <c r="D860" s="99" t="s">
        <v>174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Listado de candidaturas</v>
      </c>
      <c r="C861" s="85" t="str" cm="1">
        <f t="array" ref="C861">IFERROR(INDEX('03.Muestra'!$F$8:$F$42,SMALL(IF("Página Web"='03.Muestra'!$D$8:$D$42,ROW('03.Muestra'!$F$8:$F$42)-MIN(ROW('03.Muestra'!$D$8:$D$42))+1,""),ROW()-854)),"")</f>
        <v>https://elecciones.comunidad.madrid/es/formaciones-politicas/listado-candidaturas-proclamadas</v>
      </c>
      <c r="D861" s="99" t="s">
        <v>174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Partido Feminista de España</v>
      </c>
      <c r="C862" s="85" t="str" cm="1">
        <f t="array" ref="C862">IFERROR(INDEX('03.Muestra'!$F$8:$F$42,SMALL(IF("Página Web"='03.Muestra'!$D$8:$D$42,ROW('03.Muestra'!$F$8:$F$42)-MIN(ROW('03.Muestra'!$D$8:$D$42))+1,""),ROW()-854)),"")</f>
        <v>https://elecciones.comunidad.madrid/es/formaciones-politicas/listado-candidaturas/partido-feminista-espana</v>
      </c>
      <c r="D862" s="99" t="s">
        <v>174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¿Dónde voto?</v>
      </c>
      <c r="C863" s="85" t="str" cm="1">
        <f t="array" ref="C863">IFERROR(INDEX('03.Muestra'!$F$8:$F$42,SMALL(IF("Página Web"='03.Muestra'!$D$8:$D$42,ROW('03.Muestra'!$F$8:$F$42)-MIN(ROW('03.Muestra'!$D$8:$D$42))+1,""),ROW()-854)),"")</f>
        <v>https://elecciones.comunidad.madrid/es/votar/donde-voto</v>
      </c>
      <c r="D863" s="99" t="s">
        <v>174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Voto presencial</v>
      </c>
      <c r="C864" s="85" t="str" cm="1">
        <f t="array" ref="C864">IFERROR(INDEX('03.Muestra'!$F$8:$F$42,SMALL(IF("Página Web"='03.Muestra'!$D$8:$D$42,ROW('03.Muestra'!$F$8:$F$42)-MIN(ROW('03.Muestra'!$D$8:$D$42))+1,""),ROW()-854)),"")</f>
        <v>https://elecciones.comunidad.madrid/es/voto-local-electoral/voto-presencial</v>
      </c>
      <c r="D864" s="99" t="s">
        <v>174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Ciudadanos temporalmente en el extranjero</v>
      </c>
      <c r="C865" s="85" t="str" cm="1">
        <f t="array" ref="C865">IFERROR(INDEX('03.Muestra'!$F$8:$F$42,SMALL(IF("Página Web"='03.Muestra'!$D$8:$D$42,ROW('03.Muestra'!$F$8:$F$42)-MIN(ROW('03.Muestra'!$D$8:$D$42))+1,""),ROW()-854)),"")</f>
        <v>https://elecciones.comunidad.madrid/es/voto-correo/solicitud-voto-temporalmente-ausentes</v>
      </c>
      <c r="D865" s="99" t="s">
        <v>174</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Nuevo votante</v>
      </c>
      <c r="C866" s="85" t="str" cm="1">
        <f t="array" ref="C866">IFERROR(INDEX('03.Muestra'!$F$8:$F$42,SMALL(IF("Página Web"='03.Muestra'!$D$8:$D$42,ROW('03.Muestra'!$F$8:$F$42)-MIN(ROW('03.Muestra'!$D$8:$D$42))+1,""),ROW()-854)),"")</f>
        <v>https://elecciones.comunidad.madrid/es/votar/nuevo-votante</v>
      </c>
      <c r="D866" s="99" t="s">
        <v>174</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Simulación método D'Hondt</v>
      </c>
      <c r="C867" s="85" t="str" cm="1">
        <f t="array" ref="C867">IFERROR(INDEX('03.Muestra'!$F$8:$F$42,SMALL(IF("Página Web"='03.Muestra'!$D$8:$D$42,ROW('03.Muestra'!$F$8:$F$42)-MIN(ROW('03.Muestra'!$D$8:$D$42))+1,""),ROW()-854)),"")</f>
        <v>https://elecciones.comunidad.madrid/es/informacion-util/simulacion-metodo-dhondt</v>
      </c>
      <c r="D867" s="99" t="s">
        <v>174</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Ley D'Hondt</v>
      </c>
      <c r="C868" s="85" t="str" cm="1">
        <f t="array" ref="C868">IFERROR(INDEX('03.Muestra'!$F$8:$F$42,SMALL(IF("Página Web"='03.Muestra'!$D$8:$D$42,ROW('03.Muestra'!$F$8:$F$42)-MIN(ROW('03.Muestra'!$D$8:$D$42))+1,""),ROW()-854)),"")</f>
        <v>https://elecciones.comunidad.madrid/es/resultados/ley_d_hondt</v>
      </c>
      <c r="D868" s="99" t="s">
        <v>174</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Voto por correo elector CERA en España</v>
      </c>
      <c r="C869" s="85" t="str" cm="1">
        <f t="array" ref="C869">IFERROR(INDEX('03.Muestra'!$F$8:$F$42,SMALL(IF("Página Web"='03.Muestra'!$D$8:$D$42,ROW('03.Muestra'!$F$8:$F$42)-MIN(ROW('03.Muestra'!$D$8:$D$42))+1,""),ROW()-854)),"")</f>
        <v>https://elecciones.comunidad.madrid/es/preguntas-frecuentes/voto-correo-electores-residentes-extranjero</v>
      </c>
      <c r="D869" s="99" t="s">
        <v>174</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Contacto</v>
      </c>
      <c r="C870" s="85" t="str" cm="1">
        <f t="array" ref="C870">IFERROR(INDEX('03.Muestra'!$F$8:$F$42,SMALL(IF("Página Web"='03.Muestra'!$D$8:$D$42,ROW('03.Muestra'!$F$8:$F$42)-MIN(ROW('03.Muestra'!$D$8:$D$42))+1,""),ROW()-854)),"")</f>
        <v>https://elecciones.comunidad.madrid/es/buzon-de-sugerencias</v>
      </c>
      <c r="D870" s="99" t="s">
        <v>174</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Buscador</v>
      </c>
      <c r="C871" s="85" t="str" cm="1">
        <f t="array" ref="C871">IFERROR(INDEX('03.Muestra'!$F$8:$F$42,SMALL(IF("Página Web"='03.Muestra'!$D$8:$D$42,ROW('03.Muestra'!$F$8:$F$42)-MIN(ROW('03.Muestra'!$D$8:$D$42))+1,""),ROW()-854)),"")</f>
        <v>https://elecciones.comunidad.madrid/es/search?search_api_fulltext=partido</v>
      </c>
      <c r="D871" s="99" t="s">
        <v>174</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Aviso Legal-Privacidad</v>
      </c>
      <c r="C872" s="85" t="str" cm="1">
        <f t="array" ref="C872">IFERROR(INDEX('03.Muestra'!$F$8:$F$42,SMALL(IF("Página Web"='03.Muestra'!$D$8:$D$42,ROW('03.Muestra'!$F$8:$F$42)-MIN(ROW('03.Muestra'!$D$8:$D$42))+1,""),ROW()-854)),"")</f>
        <v>https://elecciones.comunidad.madrid/es/aviso-legal</v>
      </c>
      <c r="D872" s="99" t="s">
        <v>174</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Mapa Web</v>
      </c>
      <c r="C873" s="85" t="str" cm="1">
        <f t="array" ref="C873">IFERROR(INDEX('03.Muestra'!$F$8:$F$42,SMALL(IF("Página Web"='03.Muestra'!$D$8:$D$42,ROW('03.Muestra'!$F$8:$F$42)-MIN(ROW('03.Muestra'!$D$8:$D$42))+1,""),ROW()-854)),"")</f>
        <v>https://elecciones.comunidad.madrid/es/sitemap</v>
      </c>
      <c r="D873" s="99" t="s">
        <v>174</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Declaracion Accesibilidad</v>
      </c>
      <c r="C874" s="85" t="str" cm="1">
        <f t="array" ref="C874">IFERROR(INDEX('03.Muestra'!$F$8:$F$42,SMALL(IF("Página Web"='03.Muestra'!$D$8:$D$42,ROW('03.Muestra'!$F$8:$F$42)-MIN(ROW('03.Muestra'!$D$8:$D$42))+1,""),ROW()-854)),"")</f>
        <v>https://elecciones.comunidad.madrid/es/accesibilidad</v>
      </c>
      <c r="D874" s="99" t="s">
        <v>174</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181</v>
      </c>
      <c r="B892" s="23" t="s">
        <v>173</v>
      </c>
      <c r="C892" s="24" t="s">
        <v>247</v>
      </c>
      <c r="D892" s="25" t="s">
        <v>183</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https://elecciones.comunidad.madrid/es</v>
      </c>
      <c r="D893" s="99" t="s">
        <v>184</v>
      </c>
      <c r="E893" s="79" t="str">
        <f t="shared" ref="E893:E927" si="46">IF(D893&lt;&gt;"",IF(AND(B893&lt;&gt;"",C893&lt;&gt;""),"","ERR"),"")</f>
        <v/>
      </c>
      <c r="F893" s="86" t="s">
        <v>185</v>
      </c>
      <c r="G893" s="87" t="s">
        <v>186</v>
      </c>
      <c r="H893" s="88" t="s">
        <v>184</v>
      </c>
      <c r="I893" s="89" t="s">
        <v>176</v>
      </c>
      <c r="J893" s="90" t="s">
        <v>174</v>
      </c>
      <c r="K893" s="179" t="s">
        <v>180</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Resultado Elecciones 28M 2023</v>
      </c>
      <c r="C894" s="85" t="str" cm="1">
        <f t="array" ref="C894">IFERROR(INDEX('03.Muestra'!$F$8:$F$42,SMALL(IF("Página Web"='03.Muestra'!$D$8:$D$42,ROW('03.Muestra'!$F$8:$F$42)-MIN(ROW('03.Muestra'!$D$8:$D$42))+1,""),ROW()-892)),"")</f>
        <v>https://elecciones.comunidad.madrid/es/resultados-elecciones-asamblea-madrid-28m-2023</v>
      </c>
      <c r="D894" s="99" t="s">
        <v>184</v>
      </c>
      <c r="E894" s="79" t="str">
        <f t="shared" si="46"/>
        <v/>
      </c>
      <c r="F894" s="91">
        <f ca="1">COUNTIF($D893:INDIRECT("$D" &amp;  SUM(ROW()-1,'03.Muestra'!$D$45)-1),F893)</f>
        <v>0</v>
      </c>
      <c r="G894" s="91">
        <f ca="1">COUNTIF($D893:INDIRECT("$D" &amp;  SUM(ROW()-1,'03.Muestra'!$D$45)-1),G893)</f>
        <v>0</v>
      </c>
      <c r="H894" s="91">
        <f ca="1">COUNTIF($D893:INDIRECT("$D" &amp;  SUM(ROW()-1,'03.Muestra'!$D$45)-1),H893)</f>
        <v>20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Normativa electoral</v>
      </c>
      <c r="C895" s="85" t="str" cm="1">
        <f t="array" ref="C895">IFERROR(INDEX('03.Muestra'!$F$8:$F$42,SMALL(IF("Página Web"='03.Muestra'!$D$8:$D$42,ROW('03.Muestra'!$F$8:$F$42)-MIN(ROW('03.Muestra'!$D$8:$D$42))+1,""),ROW()-892)),"")</f>
        <v>https://elecciones.comunidad.madrid/es/informacion-electoral/normativa-electoral</v>
      </c>
      <c r="D895" s="99" t="s">
        <v>184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Calendario electoral</v>
      </c>
      <c r="C896" s="85" t="str" cm="1">
        <f t="array" ref="C896">IFERROR(INDEX('03.Muestra'!$F$8:$F$42,SMALL(IF("Página Web"='03.Muestra'!$D$8:$D$42,ROW('03.Muestra'!$F$8:$F$42)-MIN(ROW('03.Muestra'!$D$8:$D$42))+1,""),ROW()-892)),"")</f>
        <v>https://elecciones.comunidad.madrid/es/informacion-electoral/calendario-electoral</v>
      </c>
      <c r="D896" s="99" t="s">
        <v>184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Direcciones y teléfonos</v>
      </c>
      <c r="C897" s="85" t="str" cm="1">
        <f t="array" ref="C897">IFERROR(INDEX('03.Muestra'!$F$8:$F$42,SMALL(IF("Página Web"='03.Muestra'!$D$8:$D$42,ROW('03.Muestra'!$F$8:$F$42)-MIN(ROW('03.Muestra'!$D$8:$D$42))+1,""),ROW()-892)),"")</f>
        <v>https://elecciones.comunidad.madrid/es/juntas-electorales/direcciones-telefonos</v>
      </c>
      <c r="D897" s="99" t="s">
        <v>184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Impresos electrónicos</v>
      </c>
      <c r="C898" s="85" t="str" cm="1">
        <f t="array" ref="C898">IFERROR(INDEX('03.Muestra'!$F$8:$F$42,SMALL(IF("Página Web"='03.Muestra'!$D$8:$D$42,ROW('03.Muestra'!$F$8:$F$42)-MIN(ROW('03.Muestra'!$D$8:$D$42))+1,""),ROW()-892)),"")</f>
        <v>https://elecciones.comunidad.madrid/es/formaciones-politicas/impresos-electronicos</v>
      </c>
      <c r="D898" s="99" t="s">
        <v>184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Listado de candidaturas</v>
      </c>
      <c r="C899" s="85" t="str" cm="1">
        <f t="array" ref="C899">IFERROR(INDEX('03.Muestra'!$F$8:$F$42,SMALL(IF("Página Web"='03.Muestra'!$D$8:$D$42,ROW('03.Muestra'!$F$8:$F$42)-MIN(ROW('03.Muestra'!$D$8:$D$42))+1,""),ROW()-892)),"")</f>
        <v>https://elecciones.comunidad.madrid/es/formaciones-politicas/listado-candidaturas-proclamadas</v>
      </c>
      <c r="D899" s="99" t="s">
        <v>184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Partido Feminista de España</v>
      </c>
      <c r="C900" s="85" t="str" cm="1">
        <f t="array" ref="C900">IFERROR(INDEX('03.Muestra'!$F$8:$F$42,SMALL(IF("Página Web"='03.Muestra'!$D$8:$D$42,ROW('03.Muestra'!$F$8:$F$42)-MIN(ROW('03.Muestra'!$D$8:$D$42))+1,""),ROW()-892)),"")</f>
        <v>https://elecciones.comunidad.madrid/es/formaciones-politicas/listado-candidaturas/partido-feminista-espana</v>
      </c>
      <c r="D900" s="99" t="s">
        <v>184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¿Dónde voto?</v>
      </c>
      <c r="C901" s="85" t="str" cm="1">
        <f t="array" ref="C901">IFERROR(INDEX('03.Muestra'!$F$8:$F$42,SMALL(IF("Página Web"='03.Muestra'!$D$8:$D$42,ROW('03.Muestra'!$F$8:$F$42)-MIN(ROW('03.Muestra'!$D$8:$D$42))+1,""),ROW()-892)),"")</f>
        <v>https://elecciones.comunidad.madrid/es/votar/donde-voto</v>
      </c>
      <c r="D901" s="99" t="s">
        <v>184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Voto presencial</v>
      </c>
      <c r="C902" s="85" t="str" cm="1">
        <f t="array" ref="C902">IFERROR(INDEX('03.Muestra'!$F$8:$F$42,SMALL(IF("Página Web"='03.Muestra'!$D$8:$D$42,ROW('03.Muestra'!$F$8:$F$42)-MIN(ROW('03.Muestra'!$D$8:$D$42))+1,""),ROW()-892)),"")</f>
        <v>https://elecciones.comunidad.madrid/es/voto-local-electoral/voto-presencial</v>
      </c>
      <c r="D902" s="99" t="s">
        <v>184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Ciudadanos temporalmente en el extranjero</v>
      </c>
      <c r="C903" s="85" t="str" cm="1">
        <f t="array" ref="C903">IFERROR(INDEX('03.Muestra'!$F$8:$F$42,SMALL(IF("Página Web"='03.Muestra'!$D$8:$D$42,ROW('03.Muestra'!$F$8:$F$42)-MIN(ROW('03.Muestra'!$D$8:$D$42))+1,""),ROW()-892)),"")</f>
        <v>https://elecciones.comunidad.madrid/es/voto-correo/solicitud-voto-temporalmente-ausentes</v>
      </c>
      <c r="D903" s="99" t="s">
        <v>184</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Nuevo votante</v>
      </c>
      <c r="C904" s="85" t="str" cm="1">
        <f t="array" ref="C904">IFERROR(INDEX('03.Muestra'!$F$8:$F$42,SMALL(IF("Página Web"='03.Muestra'!$D$8:$D$42,ROW('03.Muestra'!$F$8:$F$42)-MIN(ROW('03.Muestra'!$D$8:$D$42))+1,""),ROW()-892)),"")</f>
        <v>https://elecciones.comunidad.madrid/es/votar/nuevo-votante</v>
      </c>
      <c r="D904" s="99" t="s">
        <v>184</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Simulación método D'Hondt</v>
      </c>
      <c r="C905" s="85" t="str" cm="1">
        <f t="array" ref="C905">IFERROR(INDEX('03.Muestra'!$F$8:$F$42,SMALL(IF("Página Web"='03.Muestra'!$D$8:$D$42,ROW('03.Muestra'!$F$8:$F$42)-MIN(ROW('03.Muestra'!$D$8:$D$42))+1,""),ROW()-892)),"")</f>
        <v>https://elecciones.comunidad.madrid/es/informacion-util/simulacion-metodo-dhondt</v>
      </c>
      <c r="D905" s="99" t="s">
        <v>184</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Ley D'Hondt</v>
      </c>
      <c r="C906" s="85" t="str" cm="1">
        <f t="array" ref="C906">IFERROR(INDEX('03.Muestra'!$F$8:$F$42,SMALL(IF("Página Web"='03.Muestra'!$D$8:$D$42,ROW('03.Muestra'!$F$8:$F$42)-MIN(ROW('03.Muestra'!$D$8:$D$42))+1,""),ROW()-892)),"")</f>
        <v>https://elecciones.comunidad.madrid/es/resultados/ley_d_hondt</v>
      </c>
      <c r="D906" s="99" t="s">
        <v>184</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Voto por correo elector CERA en España</v>
      </c>
      <c r="C907" s="85" t="str" cm="1">
        <f t="array" ref="C907">IFERROR(INDEX('03.Muestra'!$F$8:$F$42,SMALL(IF("Página Web"='03.Muestra'!$D$8:$D$42,ROW('03.Muestra'!$F$8:$F$42)-MIN(ROW('03.Muestra'!$D$8:$D$42))+1,""),ROW()-892)),"")</f>
        <v>https://elecciones.comunidad.madrid/es/preguntas-frecuentes/voto-correo-electores-residentes-extranjero</v>
      </c>
      <c r="D907" s="99" t="s">
        <v>184</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Contacto</v>
      </c>
      <c r="C908" s="85" t="str" cm="1">
        <f t="array" ref="C908">IFERROR(INDEX('03.Muestra'!$F$8:$F$42,SMALL(IF("Página Web"='03.Muestra'!$D$8:$D$42,ROW('03.Muestra'!$F$8:$F$42)-MIN(ROW('03.Muestra'!$D$8:$D$42))+1,""),ROW()-892)),"")</f>
        <v>https://elecciones.comunidad.madrid/es/buzon-de-sugerencias</v>
      </c>
      <c r="D908" s="99" t="s">
        <v>184</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Buscador</v>
      </c>
      <c r="C909" s="85" t="str" cm="1">
        <f t="array" ref="C909">IFERROR(INDEX('03.Muestra'!$F$8:$F$42,SMALL(IF("Página Web"='03.Muestra'!$D$8:$D$42,ROW('03.Muestra'!$F$8:$F$42)-MIN(ROW('03.Muestra'!$D$8:$D$42))+1,""),ROW()-892)),"")</f>
        <v>https://elecciones.comunidad.madrid/es/search?search_api_fulltext=partido</v>
      </c>
      <c r="D909" s="99" t="s">
        <v>184</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Aviso Legal-Privacidad</v>
      </c>
      <c r="C910" s="85" t="str" cm="1">
        <f t="array" ref="C910">IFERROR(INDEX('03.Muestra'!$F$8:$F$42,SMALL(IF("Página Web"='03.Muestra'!$D$8:$D$42,ROW('03.Muestra'!$F$8:$F$42)-MIN(ROW('03.Muestra'!$D$8:$D$42))+1,""),ROW()-892)),"")</f>
        <v>https://elecciones.comunidad.madrid/es/aviso-legal</v>
      </c>
      <c r="D910" s="99" t="s">
        <v>184</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Mapa Web</v>
      </c>
      <c r="C911" s="85" t="str" cm="1">
        <f t="array" ref="C911">IFERROR(INDEX('03.Muestra'!$F$8:$F$42,SMALL(IF("Página Web"='03.Muestra'!$D$8:$D$42,ROW('03.Muestra'!$F$8:$F$42)-MIN(ROW('03.Muestra'!$D$8:$D$42))+1,""),ROW()-892)),"")</f>
        <v>https://elecciones.comunidad.madrid/es/sitemap</v>
      </c>
      <c r="D911" s="99" t="s">
        <v>184</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Declaracion Accesibilidad</v>
      </c>
      <c r="C912" s="85" t="str" cm="1">
        <f t="array" ref="C912">IFERROR(INDEX('03.Muestra'!$F$8:$F$42,SMALL(IF("Página Web"='03.Muestra'!$D$8:$D$42,ROW('03.Muestra'!$F$8:$F$42)-MIN(ROW('03.Muestra'!$D$8:$D$42))+1,""),ROW()-892)),"")</f>
        <v>https://elecciones.comunidad.madrid/es/accesibilidad</v>
      </c>
      <c r="D912" s="99" t="s">
        <v>184</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ref="D913:D927" si="47">IF(AND(B913&lt;&gt;"",C913&lt;&gt;""),"N/T","")</f>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181</v>
      </c>
      <c r="B930" s="23" t="s">
        <v>173</v>
      </c>
      <c r="C930" s="24" t="s">
        <v>248</v>
      </c>
      <c r="D930" s="25" t="s">
        <v>183</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https://elecciones.comunidad.madrid/es</v>
      </c>
      <c r="D931" s="99" t="s">
        <v>184</v>
      </c>
      <c r="E931" s="79" t="str">
        <f t="shared" ref="E931:E965" si="48">IF(D931&lt;&gt;"",IF(AND(B931&lt;&gt;"",C931&lt;&gt;""),"","ERR"),"")</f>
        <v/>
      </c>
      <c r="F931" s="86" t="s">
        <v>185</v>
      </c>
      <c r="G931" s="87" t="s">
        <v>186</v>
      </c>
      <c r="H931" s="88" t="s">
        <v>184</v>
      </c>
      <c r="I931" s="89" t="s">
        <v>176</v>
      </c>
      <c r="J931" s="90" t="s">
        <v>174</v>
      </c>
      <c r="K931" s="179" t="s">
        <v>180</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Resultado Elecciones 28M 2023</v>
      </c>
      <c r="C932" s="85" t="str" cm="1">
        <f t="array" ref="C932">IFERROR(INDEX('03.Muestra'!$F$8:$F$42,SMALL(IF("Página Web"='03.Muestra'!$D$8:$D$42,ROW('03.Muestra'!$F$8:$F$42)-MIN(ROW('03.Muestra'!$D$8:$D$42))+1,""),ROW()-930)),"")</f>
        <v>https://elecciones.comunidad.madrid/es/resultados-elecciones-asamblea-madrid-28m-2023</v>
      </c>
      <c r="D932" s="99" t="s">
        <v>184</v>
      </c>
      <c r="E932" s="79" t="str">
        <f t="shared" si="48"/>
        <v/>
      </c>
      <c r="F932" s="91">
        <f ca="1">COUNTIF($D931:INDIRECT("$D" &amp;  SUM(ROW()-1,'03.Muestra'!$D$45)-1),F931)</f>
        <v>0</v>
      </c>
      <c r="G932" s="91">
        <f ca="1">COUNTIF($D931:INDIRECT("$D" &amp;  SUM(ROW()-1,'03.Muestra'!$D$45)-1),G931)</f>
        <v>0</v>
      </c>
      <c r="H932" s="91">
        <f ca="1">COUNTIF($D931:INDIRECT("$D" &amp;  SUM(ROW()-1,'03.Muestra'!$D$45)-1),H931)</f>
        <v>20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Normativa electoral</v>
      </c>
      <c r="C933" s="85" t="str" cm="1">
        <f t="array" ref="C933">IFERROR(INDEX('03.Muestra'!$F$8:$F$42,SMALL(IF("Página Web"='03.Muestra'!$D$8:$D$42,ROW('03.Muestra'!$F$8:$F$42)-MIN(ROW('03.Muestra'!$D$8:$D$42))+1,""),ROW()-930)),"")</f>
        <v>https://elecciones.comunidad.madrid/es/informacion-electoral/normativa-electoral</v>
      </c>
      <c r="D933" s="99" t="s">
        <v>184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Calendario electoral</v>
      </c>
      <c r="C934" s="85" t="str" cm="1">
        <f t="array" ref="C934">IFERROR(INDEX('03.Muestra'!$F$8:$F$42,SMALL(IF("Página Web"='03.Muestra'!$D$8:$D$42,ROW('03.Muestra'!$F$8:$F$42)-MIN(ROW('03.Muestra'!$D$8:$D$42))+1,""),ROW()-930)),"")</f>
        <v>https://elecciones.comunidad.madrid/es/informacion-electoral/calendario-electoral</v>
      </c>
      <c r="D934" s="99" t="s">
        <v>184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Direcciones y teléfonos</v>
      </c>
      <c r="C935" s="85" t="str" cm="1">
        <f t="array" ref="C935">IFERROR(INDEX('03.Muestra'!$F$8:$F$42,SMALL(IF("Página Web"='03.Muestra'!$D$8:$D$42,ROW('03.Muestra'!$F$8:$F$42)-MIN(ROW('03.Muestra'!$D$8:$D$42))+1,""),ROW()-930)),"")</f>
        <v>https://elecciones.comunidad.madrid/es/juntas-electorales/direcciones-telefonos</v>
      </c>
      <c r="D935" s="99" t="s">
        <v>184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Impresos electrónicos</v>
      </c>
      <c r="C936" s="85" t="str" cm="1">
        <f t="array" ref="C936">IFERROR(INDEX('03.Muestra'!$F$8:$F$42,SMALL(IF("Página Web"='03.Muestra'!$D$8:$D$42,ROW('03.Muestra'!$F$8:$F$42)-MIN(ROW('03.Muestra'!$D$8:$D$42))+1,""),ROW()-930)),"")</f>
        <v>https://elecciones.comunidad.madrid/es/formaciones-politicas/impresos-electronicos</v>
      </c>
      <c r="D936" s="99" t="s">
        <v>184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Listado de candidaturas</v>
      </c>
      <c r="C937" s="85" t="str" cm="1">
        <f t="array" ref="C937">IFERROR(INDEX('03.Muestra'!$F$8:$F$42,SMALL(IF("Página Web"='03.Muestra'!$D$8:$D$42,ROW('03.Muestra'!$F$8:$F$42)-MIN(ROW('03.Muestra'!$D$8:$D$42))+1,""),ROW()-930)),"")</f>
        <v>https://elecciones.comunidad.madrid/es/formaciones-politicas/listado-candidaturas-proclamadas</v>
      </c>
      <c r="D937" s="99" t="s">
        <v>184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Partido Feminista de España</v>
      </c>
      <c r="C938" s="85" t="str" cm="1">
        <f t="array" ref="C938">IFERROR(INDEX('03.Muestra'!$F$8:$F$42,SMALL(IF("Página Web"='03.Muestra'!$D$8:$D$42,ROW('03.Muestra'!$F$8:$F$42)-MIN(ROW('03.Muestra'!$D$8:$D$42))+1,""),ROW()-930)),"")</f>
        <v>https://elecciones.comunidad.madrid/es/formaciones-politicas/listado-candidaturas/partido-feminista-espana</v>
      </c>
      <c r="D938" s="99" t="s">
        <v>184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¿Dónde voto?</v>
      </c>
      <c r="C939" s="85" t="str" cm="1">
        <f t="array" ref="C939">IFERROR(INDEX('03.Muestra'!$F$8:$F$42,SMALL(IF("Página Web"='03.Muestra'!$D$8:$D$42,ROW('03.Muestra'!$F$8:$F$42)-MIN(ROW('03.Muestra'!$D$8:$D$42))+1,""),ROW()-930)),"")</f>
        <v>https://elecciones.comunidad.madrid/es/votar/donde-voto</v>
      </c>
      <c r="D939" s="99" t="s">
        <v>184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Voto presencial</v>
      </c>
      <c r="C940" s="85" t="str" cm="1">
        <f t="array" ref="C940">IFERROR(INDEX('03.Muestra'!$F$8:$F$42,SMALL(IF("Página Web"='03.Muestra'!$D$8:$D$42,ROW('03.Muestra'!$F$8:$F$42)-MIN(ROW('03.Muestra'!$D$8:$D$42))+1,""),ROW()-930)),"")</f>
        <v>https://elecciones.comunidad.madrid/es/voto-local-electoral/voto-presencial</v>
      </c>
      <c r="D940" s="99" t="s">
        <v>184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Ciudadanos temporalmente en el extranjero</v>
      </c>
      <c r="C941" s="85" t="str" cm="1">
        <f t="array" ref="C941">IFERROR(INDEX('03.Muestra'!$F$8:$F$42,SMALL(IF("Página Web"='03.Muestra'!$D$8:$D$42,ROW('03.Muestra'!$F$8:$F$42)-MIN(ROW('03.Muestra'!$D$8:$D$42))+1,""),ROW()-930)),"")</f>
        <v>https://elecciones.comunidad.madrid/es/voto-correo/solicitud-voto-temporalmente-ausentes</v>
      </c>
      <c r="D941" s="99" t="s">
        <v>184</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Nuevo votante</v>
      </c>
      <c r="C942" s="85" t="str" cm="1">
        <f t="array" ref="C942">IFERROR(INDEX('03.Muestra'!$F$8:$F$42,SMALL(IF("Página Web"='03.Muestra'!$D$8:$D$42,ROW('03.Muestra'!$F$8:$F$42)-MIN(ROW('03.Muestra'!$D$8:$D$42))+1,""),ROW()-930)),"")</f>
        <v>https://elecciones.comunidad.madrid/es/votar/nuevo-votante</v>
      </c>
      <c r="D942" s="99" t="s">
        <v>184</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Simulación método D'Hondt</v>
      </c>
      <c r="C943" s="85" t="str" cm="1">
        <f t="array" ref="C943">IFERROR(INDEX('03.Muestra'!$F$8:$F$42,SMALL(IF("Página Web"='03.Muestra'!$D$8:$D$42,ROW('03.Muestra'!$F$8:$F$42)-MIN(ROW('03.Muestra'!$D$8:$D$42))+1,""),ROW()-930)),"")</f>
        <v>https://elecciones.comunidad.madrid/es/informacion-util/simulacion-metodo-dhondt</v>
      </c>
      <c r="D943" s="99" t="s">
        <v>184</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Ley D'Hondt</v>
      </c>
      <c r="C944" s="85" t="str" cm="1">
        <f t="array" ref="C944">IFERROR(INDEX('03.Muestra'!$F$8:$F$42,SMALL(IF("Página Web"='03.Muestra'!$D$8:$D$42,ROW('03.Muestra'!$F$8:$F$42)-MIN(ROW('03.Muestra'!$D$8:$D$42))+1,""),ROW()-930)),"")</f>
        <v>https://elecciones.comunidad.madrid/es/resultados/ley_d_hondt</v>
      </c>
      <c r="D944" s="99" t="s">
        <v>184</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Voto por correo elector CERA en España</v>
      </c>
      <c r="C945" s="85" t="str" cm="1">
        <f t="array" ref="C945">IFERROR(INDEX('03.Muestra'!$F$8:$F$42,SMALL(IF("Página Web"='03.Muestra'!$D$8:$D$42,ROW('03.Muestra'!$F$8:$F$42)-MIN(ROW('03.Muestra'!$D$8:$D$42))+1,""),ROW()-930)),"")</f>
        <v>https://elecciones.comunidad.madrid/es/preguntas-frecuentes/voto-correo-electores-residentes-extranjero</v>
      </c>
      <c r="D945" s="99" t="s">
        <v>184</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Contacto</v>
      </c>
      <c r="C946" s="85" t="str" cm="1">
        <f t="array" ref="C946">IFERROR(INDEX('03.Muestra'!$F$8:$F$42,SMALL(IF("Página Web"='03.Muestra'!$D$8:$D$42,ROW('03.Muestra'!$F$8:$F$42)-MIN(ROW('03.Muestra'!$D$8:$D$42))+1,""),ROW()-930)),"")</f>
        <v>https://elecciones.comunidad.madrid/es/buzon-de-sugerencias</v>
      </c>
      <c r="D946" s="99" t="s">
        <v>184</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Buscador</v>
      </c>
      <c r="C947" s="85" t="str" cm="1">
        <f t="array" ref="C947">IFERROR(INDEX('03.Muestra'!$F$8:$F$42,SMALL(IF("Página Web"='03.Muestra'!$D$8:$D$42,ROW('03.Muestra'!$F$8:$F$42)-MIN(ROW('03.Muestra'!$D$8:$D$42))+1,""),ROW()-930)),"")</f>
        <v>https://elecciones.comunidad.madrid/es/search?search_api_fulltext=partido</v>
      </c>
      <c r="D947" s="99" t="s">
        <v>184</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Aviso Legal-Privacidad</v>
      </c>
      <c r="C948" s="85" t="str" cm="1">
        <f t="array" ref="C948">IFERROR(INDEX('03.Muestra'!$F$8:$F$42,SMALL(IF("Página Web"='03.Muestra'!$D$8:$D$42,ROW('03.Muestra'!$F$8:$F$42)-MIN(ROW('03.Muestra'!$D$8:$D$42))+1,""),ROW()-930)),"")</f>
        <v>https://elecciones.comunidad.madrid/es/aviso-legal</v>
      </c>
      <c r="D948" s="99" t="s">
        <v>184</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Mapa Web</v>
      </c>
      <c r="C949" s="85" t="str" cm="1">
        <f t="array" ref="C949">IFERROR(INDEX('03.Muestra'!$F$8:$F$42,SMALL(IF("Página Web"='03.Muestra'!$D$8:$D$42,ROW('03.Muestra'!$F$8:$F$42)-MIN(ROW('03.Muestra'!$D$8:$D$42))+1,""),ROW()-930)),"")</f>
        <v>https://elecciones.comunidad.madrid/es/sitemap</v>
      </c>
      <c r="D949" s="99" t="s">
        <v>184</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Declaracion Accesibilidad</v>
      </c>
      <c r="C950" s="85" t="str" cm="1">
        <f t="array" ref="C950">IFERROR(INDEX('03.Muestra'!$F$8:$F$42,SMALL(IF("Página Web"='03.Muestra'!$D$8:$D$42,ROW('03.Muestra'!$F$8:$F$42)-MIN(ROW('03.Muestra'!$D$8:$D$42))+1,""),ROW()-930)),"")</f>
        <v>https://elecciones.comunidad.madrid/es/accesibilidad</v>
      </c>
      <c r="D950" s="99" t="s">
        <v>184</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ref="D951:D965" si="49">IF(AND(B951&lt;&gt;"",C951&lt;&gt;""),"N/T","")</f>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181</v>
      </c>
      <c r="B968" s="23" t="s">
        <v>173</v>
      </c>
      <c r="C968" s="24" t="s">
        <v>249</v>
      </c>
      <c r="D968" s="25" t="s">
        <v>183</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https://elecciones.comunidad.madrid/es</v>
      </c>
      <c r="D969" s="99" t="s">
        <v>174</v>
      </c>
      <c r="E969" s="79" t="str">
        <f t="shared" ref="E969:E1003" si="50">IF(D969&lt;&gt;"",IF(AND(B969&lt;&gt;"",C969&lt;&gt;""),"","ERR"),"")</f>
        <v/>
      </c>
      <c r="F969" s="86" t="s">
        <v>185</v>
      </c>
      <c r="G969" s="87" t="s">
        <v>186</v>
      </c>
      <c r="H969" s="88" t="s">
        <v>184</v>
      </c>
      <c r="I969" s="89" t="s">
        <v>176</v>
      </c>
      <c r="J969" s="90" t="s">
        <v>174</v>
      </c>
      <c r="K969" s="179" t="s">
        <v>180</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Resultado Elecciones 28M 2023</v>
      </c>
      <c r="C970" s="85" t="str" cm="1">
        <f t="array" ref="C970">IFERROR(INDEX('03.Muestra'!$F$8:$F$42,SMALL(IF("Página Web"='03.Muestra'!$D$8:$D$42,ROW('03.Muestra'!$F$8:$F$42)-MIN(ROW('03.Muestra'!$D$8:$D$42))+1,""),ROW()-968)),"")</f>
        <v>https://elecciones.comunidad.madrid/es/resultados-elecciones-asamblea-madrid-28m-2023</v>
      </c>
      <c r="D970" s="99" t="s">
        <v>174</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20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Normativa electoral</v>
      </c>
      <c r="C971" s="85" t="str" cm="1">
        <f t="array" ref="C971">IFERROR(INDEX('03.Muestra'!$F$8:$F$42,SMALL(IF("Página Web"='03.Muestra'!$D$8:$D$42,ROW('03.Muestra'!$F$8:$F$42)-MIN(ROW('03.Muestra'!$D$8:$D$42))+1,""),ROW()-968)),"")</f>
        <v>https://elecciones.comunidad.madrid/es/informacion-electoral/normativa-electoral</v>
      </c>
      <c r="D971" s="99" t="s">
        <v>174</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Calendario electoral</v>
      </c>
      <c r="C972" s="85" t="str" cm="1">
        <f t="array" ref="C972">IFERROR(INDEX('03.Muestra'!$F$8:$F$42,SMALL(IF("Página Web"='03.Muestra'!$D$8:$D$42,ROW('03.Muestra'!$F$8:$F$42)-MIN(ROW('03.Muestra'!$D$8:$D$42))+1,""),ROW()-968)),"")</f>
        <v>https://elecciones.comunidad.madrid/es/informacion-electoral/calendario-electoral</v>
      </c>
      <c r="D972" s="99" t="s">
        <v>174</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Direcciones y teléfonos</v>
      </c>
      <c r="C973" s="85" t="str" cm="1">
        <f t="array" ref="C973">IFERROR(INDEX('03.Muestra'!$F$8:$F$42,SMALL(IF("Página Web"='03.Muestra'!$D$8:$D$42,ROW('03.Muestra'!$F$8:$F$42)-MIN(ROW('03.Muestra'!$D$8:$D$42))+1,""),ROW()-968)),"")</f>
        <v>https://elecciones.comunidad.madrid/es/juntas-electorales/direcciones-telefonos</v>
      </c>
      <c r="D973" s="99" t="s">
        <v>174</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Impresos electrónicos</v>
      </c>
      <c r="C974" s="85" t="str" cm="1">
        <f t="array" ref="C974">IFERROR(INDEX('03.Muestra'!$F$8:$F$42,SMALL(IF("Página Web"='03.Muestra'!$D$8:$D$42,ROW('03.Muestra'!$F$8:$F$42)-MIN(ROW('03.Muestra'!$D$8:$D$42))+1,""),ROW()-968)),"")</f>
        <v>https://elecciones.comunidad.madrid/es/formaciones-politicas/impresos-electronicos</v>
      </c>
      <c r="D974" s="99" t="s">
        <v>174</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Listado de candidaturas</v>
      </c>
      <c r="C975" s="85" t="str" cm="1">
        <f t="array" ref="C975">IFERROR(INDEX('03.Muestra'!$F$8:$F$42,SMALL(IF("Página Web"='03.Muestra'!$D$8:$D$42,ROW('03.Muestra'!$F$8:$F$42)-MIN(ROW('03.Muestra'!$D$8:$D$42))+1,""),ROW()-968)),"")</f>
        <v>https://elecciones.comunidad.madrid/es/formaciones-politicas/listado-candidaturas-proclamadas</v>
      </c>
      <c r="D975" s="99" t="s">
        <v>174</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Partido Feminista de España</v>
      </c>
      <c r="C976" s="85" t="str" cm="1">
        <f t="array" ref="C976">IFERROR(INDEX('03.Muestra'!$F$8:$F$42,SMALL(IF("Página Web"='03.Muestra'!$D$8:$D$42,ROW('03.Muestra'!$F$8:$F$42)-MIN(ROW('03.Muestra'!$D$8:$D$42))+1,""),ROW()-968)),"")</f>
        <v>https://elecciones.comunidad.madrid/es/formaciones-politicas/listado-candidaturas/partido-feminista-espana</v>
      </c>
      <c r="D976" s="99" t="s">
        <v>174</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¿Dónde voto?</v>
      </c>
      <c r="C977" s="85" t="str" cm="1">
        <f t="array" ref="C977">IFERROR(INDEX('03.Muestra'!$F$8:$F$42,SMALL(IF("Página Web"='03.Muestra'!$D$8:$D$42,ROW('03.Muestra'!$F$8:$F$42)-MIN(ROW('03.Muestra'!$D$8:$D$42))+1,""),ROW()-968)),"")</f>
        <v>https://elecciones.comunidad.madrid/es/votar/donde-voto</v>
      </c>
      <c r="D977" s="99" t="s">
        <v>174</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Voto presencial</v>
      </c>
      <c r="C978" s="85" t="str" cm="1">
        <f t="array" ref="C978">IFERROR(INDEX('03.Muestra'!$F$8:$F$42,SMALL(IF("Página Web"='03.Muestra'!$D$8:$D$42,ROW('03.Muestra'!$F$8:$F$42)-MIN(ROW('03.Muestra'!$D$8:$D$42))+1,""),ROW()-968)),"")</f>
        <v>https://elecciones.comunidad.madrid/es/voto-local-electoral/voto-presencial</v>
      </c>
      <c r="D978" s="99" t="s">
        <v>174</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Ciudadanos temporalmente en el extranjero</v>
      </c>
      <c r="C979" s="85" t="str" cm="1">
        <f t="array" ref="C979">IFERROR(INDEX('03.Muestra'!$F$8:$F$42,SMALL(IF("Página Web"='03.Muestra'!$D$8:$D$42,ROW('03.Muestra'!$F$8:$F$42)-MIN(ROW('03.Muestra'!$D$8:$D$42))+1,""),ROW()-968)),"")</f>
        <v>https://elecciones.comunidad.madrid/es/voto-correo/solicitud-voto-temporalmente-ausentes</v>
      </c>
      <c r="D979" s="99" t="s">
        <v>174</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Nuevo votante</v>
      </c>
      <c r="C980" s="85" t="str" cm="1">
        <f t="array" ref="C980">IFERROR(INDEX('03.Muestra'!$F$8:$F$42,SMALL(IF("Página Web"='03.Muestra'!$D$8:$D$42,ROW('03.Muestra'!$F$8:$F$42)-MIN(ROW('03.Muestra'!$D$8:$D$42))+1,""),ROW()-968)),"")</f>
        <v>https://elecciones.comunidad.madrid/es/votar/nuevo-votante</v>
      </c>
      <c r="D980" s="99" t="s">
        <v>174</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Simulación método D'Hondt</v>
      </c>
      <c r="C981" s="85" t="str" cm="1">
        <f t="array" ref="C981">IFERROR(INDEX('03.Muestra'!$F$8:$F$42,SMALL(IF("Página Web"='03.Muestra'!$D$8:$D$42,ROW('03.Muestra'!$F$8:$F$42)-MIN(ROW('03.Muestra'!$D$8:$D$42))+1,""),ROW()-968)),"")</f>
        <v>https://elecciones.comunidad.madrid/es/informacion-util/simulacion-metodo-dhondt</v>
      </c>
      <c r="D981" s="99" t="s">
        <v>174</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Ley D'Hondt</v>
      </c>
      <c r="C982" s="85" t="str" cm="1">
        <f t="array" ref="C982">IFERROR(INDEX('03.Muestra'!$F$8:$F$42,SMALL(IF("Página Web"='03.Muestra'!$D$8:$D$42,ROW('03.Muestra'!$F$8:$F$42)-MIN(ROW('03.Muestra'!$D$8:$D$42))+1,""),ROW()-968)),"")</f>
        <v>https://elecciones.comunidad.madrid/es/resultados/ley_d_hondt</v>
      </c>
      <c r="D982" s="99" t="s">
        <v>174</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Voto por correo elector CERA en España</v>
      </c>
      <c r="C983" s="85" t="str" cm="1">
        <f t="array" ref="C983">IFERROR(INDEX('03.Muestra'!$F$8:$F$42,SMALL(IF("Página Web"='03.Muestra'!$D$8:$D$42,ROW('03.Muestra'!$F$8:$F$42)-MIN(ROW('03.Muestra'!$D$8:$D$42))+1,""),ROW()-968)),"")</f>
        <v>https://elecciones.comunidad.madrid/es/preguntas-frecuentes/voto-correo-electores-residentes-extranjero</v>
      </c>
      <c r="D983" s="99" t="s">
        <v>174</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Contacto</v>
      </c>
      <c r="C984" s="85" t="str" cm="1">
        <f t="array" ref="C984">IFERROR(INDEX('03.Muestra'!$F$8:$F$42,SMALL(IF("Página Web"='03.Muestra'!$D$8:$D$42,ROW('03.Muestra'!$F$8:$F$42)-MIN(ROW('03.Muestra'!$D$8:$D$42))+1,""),ROW()-968)),"")</f>
        <v>https://elecciones.comunidad.madrid/es/buzon-de-sugerencias</v>
      </c>
      <c r="D984" s="99" t="s">
        <v>174</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Buscador</v>
      </c>
      <c r="C985" s="85" t="str" cm="1">
        <f t="array" ref="C985">IFERROR(INDEX('03.Muestra'!$F$8:$F$42,SMALL(IF("Página Web"='03.Muestra'!$D$8:$D$42,ROW('03.Muestra'!$F$8:$F$42)-MIN(ROW('03.Muestra'!$D$8:$D$42))+1,""),ROW()-968)),"")</f>
        <v>https://elecciones.comunidad.madrid/es/search?search_api_fulltext=partido</v>
      </c>
      <c r="D985" s="99" t="s">
        <v>174</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Aviso Legal-Privacidad</v>
      </c>
      <c r="C986" s="85" t="str" cm="1">
        <f t="array" ref="C986">IFERROR(INDEX('03.Muestra'!$F$8:$F$42,SMALL(IF("Página Web"='03.Muestra'!$D$8:$D$42,ROW('03.Muestra'!$F$8:$F$42)-MIN(ROW('03.Muestra'!$D$8:$D$42))+1,""),ROW()-968)),"")</f>
        <v>https://elecciones.comunidad.madrid/es/aviso-legal</v>
      </c>
      <c r="D986" s="99" t="s">
        <v>174</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Mapa Web</v>
      </c>
      <c r="C987" s="85" t="str" cm="1">
        <f t="array" ref="C987">IFERROR(INDEX('03.Muestra'!$F$8:$F$42,SMALL(IF("Página Web"='03.Muestra'!$D$8:$D$42,ROW('03.Muestra'!$F$8:$F$42)-MIN(ROW('03.Muestra'!$D$8:$D$42))+1,""),ROW()-968)),"")</f>
        <v>https://elecciones.comunidad.madrid/es/sitemap</v>
      </c>
      <c r="D987" s="99" t="s">
        <v>174</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Declaracion Accesibilidad</v>
      </c>
      <c r="C988" s="85" t="str" cm="1">
        <f t="array" ref="C988">IFERROR(INDEX('03.Muestra'!$F$8:$F$42,SMALL(IF("Página Web"='03.Muestra'!$D$8:$D$42,ROW('03.Muestra'!$F$8:$F$42)-MIN(ROW('03.Muestra'!$D$8:$D$42))+1,""),ROW()-968)),"")</f>
        <v>https://elecciones.comunidad.madrid/es/accesibilidad</v>
      </c>
      <c r="D988" s="211" t="s">
        <v>174</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ref="D989:D1003" si="51">IF(AND(B989&lt;&gt;"",C989&lt;&gt;""),"N/T","")</f>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181</v>
      </c>
      <c r="B1006" s="23" t="s">
        <v>173</v>
      </c>
      <c r="C1006" s="24" t="s">
        <v>250</v>
      </c>
      <c r="D1006" s="25" t="s">
        <v>183</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https://elecciones.comunidad.madrid/es</v>
      </c>
      <c r="D1007" s="99" t="s">
        <v>174</v>
      </c>
      <c r="E1007" s="79" t="str">
        <f t="shared" ref="E1007:E1041" si="52">IF(D1007&lt;&gt;"",IF(AND(B1007&lt;&gt;"",C1007&lt;&gt;""),"","ERR"),"")</f>
        <v/>
      </c>
      <c r="F1007" s="86" t="s">
        <v>185</v>
      </c>
      <c r="G1007" s="87" t="s">
        <v>186</v>
      </c>
      <c r="H1007" s="88" t="s">
        <v>184</v>
      </c>
      <c r="I1007" s="89" t="s">
        <v>176</v>
      </c>
      <c r="J1007" s="90" t="s">
        <v>174</v>
      </c>
      <c r="K1007" s="179" t="s">
        <v>180</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Resultado Elecciones 28M 2023</v>
      </c>
      <c r="C1008" s="85" t="str" cm="1">
        <f t="array" ref="C1008">IFERROR(INDEX('03.Muestra'!$F$8:$F$42,SMALL(IF("Página Web"='03.Muestra'!$D$8:$D$42,ROW('03.Muestra'!$F$8:$F$42)-MIN(ROW('03.Muestra'!$D$8:$D$42))+1,""),ROW()-1006)),"")</f>
        <v>https://elecciones.comunidad.madrid/es/resultados-elecciones-asamblea-madrid-28m-2023</v>
      </c>
      <c r="D1008" s="99" t="s">
        <v>174</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2</v>
      </c>
      <c r="J1008" s="91">
        <f ca="1">COUNTIF($D1007:INDIRECT("$D" &amp;  SUM(ROW()-1,'03.Muestra'!$D$45)-1),J1007)</f>
        <v>18</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Normativa electoral</v>
      </c>
      <c r="C1009" s="85" t="str" cm="1">
        <f t="array" ref="C1009">IFERROR(INDEX('03.Muestra'!$F$8:$F$42,SMALL(IF("Página Web"='03.Muestra'!$D$8:$D$42,ROW('03.Muestra'!$F$8:$F$42)-MIN(ROW('03.Muestra'!$D$8:$D$42))+1,""),ROW()-1006)),"")</f>
        <v>https://elecciones.comunidad.madrid/es/informacion-electoral/normativa-electoral</v>
      </c>
      <c r="D1009" s="99" t="s">
        <v>174</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Calendario electoral</v>
      </c>
      <c r="C1010" s="85" t="str" cm="1">
        <f t="array" ref="C1010">IFERROR(INDEX('03.Muestra'!$F$8:$F$42,SMALL(IF("Página Web"='03.Muestra'!$D$8:$D$42,ROW('03.Muestra'!$F$8:$F$42)-MIN(ROW('03.Muestra'!$D$8:$D$42))+1,""),ROW()-1006)),"")</f>
        <v>https://elecciones.comunidad.madrid/es/informacion-electoral/calendario-electoral</v>
      </c>
      <c r="D1010" s="99" t="s">
        <v>174</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Direcciones y teléfonos</v>
      </c>
      <c r="C1011" s="85" t="str" cm="1">
        <f t="array" ref="C1011">IFERROR(INDEX('03.Muestra'!$F$8:$F$42,SMALL(IF("Página Web"='03.Muestra'!$D$8:$D$42,ROW('03.Muestra'!$F$8:$F$42)-MIN(ROW('03.Muestra'!$D$8:$D$42))+1,""),ROW()-1006)),"")</f>
        <v>https://elecciones.comunidad.madrid/es/juntas-electorales/direcciones-telefonos</v>
      </c>
      <c r="D1011" s="99" t="s">
        <v>174</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Impresos electrónicos</v>
      </c>
      <c r="C1012" s="85" t="str" cm="1">
        <f t="array" ref="C1012">IFERROR(INDEX('03.Muestra'!$F$8:$F$42,SMALL(IF("Página Web"='03.Muestra'!$D$8:$D$42,ROW('03.Muestra'!$F$8:$F$42)-MIN(ROW('03.Muestra'!$D$8:$D$42))+1,""),ROW()-1006)),"")</f>
        <v>https://elecciones.comunidad.madrid/es/formaciones-politicas/impresos-electronicos</v>
      </c>
      <c r="D1012" s="99" t="s">
        <v>174</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Listado de candidaturas</v>
      </c>
      <c r="C1013" s="85" t="str" cm="1">
        <f t="array" ref="C1013">IFERROR(INDEX('03.Muestra'!$F$8:$F$42,SMALL(IF("Página Web"='03.Muestra'!$D$8:$D$42,ROW('03.Muestra'!$F$8:$F$42)-MIN(ROW('03.Muestra'!$D$8:$D$42))+1,""),ROW()-1006)),"")</f>
        <v>https://elecciones.comunidad.madrid/es/formaciones-politicas/listado-candidaturas-proclamadas</v>
      </c>
      <c r="D1013" s="99" t="s">
        <v>174</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Partido Feminista de España</v>
      </c>
      <c r="C1014" s="85" t="str" cm="1">
        <f t="array" ref="C1014">IFERROR(INDEX('03.Muestra'!$F$8:$F$42,SMALL(IF("Página Web"='03.Muestra'!$D$8:$D$42,ROW('03.Muestra'!$F$8:$F$42)-MIN(ROW('03.Muestra'!$D$8:$D$42))+1,""),ROW()-1006)),"")</f>
        <v>https://elecciones.comunidad.madrid/es/formaciones-politicas/listado-candidaturas/partido-feminista-espana</v>
      </c>
      <c r="D1014" s="99" t="s">
        <v>174</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¿Dónde voto?</v>
      </c>
      <c r="C1015" s="85" t="str" cm="1">
        <f t="array" ref="C1015">IFERROR(INDEX('03.Muestra'!$F$8:$F$42,SMALL(IF("Página Web"='03.Muestra'!$D$8:$D$42,ROW('03.Muestra'!$F$8:$F$42)-MIN(ROW('03.Muestra'!$D$8:$D$42))+1,""),ROW()-1006)),"")</f>
        <v>https://elecciones.comunidad.madrid/es/votar/donde-voto</v>
      </c>
      <c r="D1015" s="99" t="s">
        <v>174</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Voto presencial</v>
      </c>
      <c r="C1016" s="85" t="str" cm="1">
        <f t="array" ref="C1016">IFERROR(INDEX('03.Muestra'!$F$8:$F$42,SMALL(IF("Página Web"='03.Muestra'!$D$8:$D$42,ROW('03.Muestra'!$F$8:$F$42)-MIN(ROW('03.Muestra'!$D$8:$D$42))+1,""),ROW()-1006)),"")</f>
        <v>https://elecciones.comunidad.madrid/es/voto-local-electoral/voto-presencial</v>
      </c>
      <c r="D1016" s="99" t="s">
        <v>174</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Ciudadanos temporalmente en el extranjero</v>
      </c>
      <c r="C1017" s="85" t="str" cm="1">
        <f t="array" ref="C1017">IFERROR(INDEX('03.Muestra'!$F$8:$F$42,SMALL(IF("Página Web"='03.Muestra'!$D$8:$D$42,ROW('03.Muestra'!$F$8:$F$42)-MIN(ROW('03.Muestra'!$D$8:$D$42))+1,""),ROW()-1006)),"")</f>
        <v>https://elecciones.comunidad.madrid/es/voto-correo/solicitud-voto-temporalmente-ausentes</v>
      </c>
      <c r="D1017" s="99" t="s">
        <v>174</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Nuevo votante</v>
      </c>
      <c r="C1018" s="85" t="str" cm="1">
        <f t="array" ref="C1018">IFERROR(INDEX('03.Muestra'!$F$8:$F$42,SMALL(IF("Página Web"='03.Muestra'!$D$8:$D$42,ROW('03.Muestra'!$F$8:$F$42)-MIN(ROW('03.Muestra'!$D$8:$D$42))+1,""),ROW()-1006)),"")</f>
        <v>https://elecciones.comunidad.madrid/es/votar/nuevo-votante</v>
      </c>
      <c r="D1018" s="99" t="s">
        <v>174</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Simulación método D'Hondt</v>
      </c>
      <c r="C1019" s="85" t="str" cm="1">
        <f t="array" ref="C1019">IFERROR(INDEX('03.Muestra'!$F$8:$F$42,SMALL(IF("Página Web"='03.Muestra'!$D$8:$D$42,ROW('03.Muestra'!$F$8:$F$42)-MIN(ROW('03.Muestra'!$D$8:$D$42))+1,""),ROW()-1006)),"")</f>
        <v>https://elecciones.comunidad.madrid/es/informacion-util/simulacion-metodo-dhondt</v>
      </c>
      <c r="D1019" s="99" t="s">
        <v>174</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Ley D'Hondt</v>
      </c>
      <c r="C1020" s="85" t="str" cm="1">
        <f t="array" ref="C1020">IFERROR(INDEX('03.Muestra'!$F$8:$F$42,SMALL(IF("Página Web"='03.Muestra'!$D$8:$D$42,ROW('03.Muestra'!$F$8:$F$42)-MIN(ROW('03.Muestra'!$D$8:$D$42))+1,""),ROW()-1006)),"")</f>
        <v>https://elecciones.comunidad.madrid/es/resultados/ley_d_hondt</v>
      </c>
      <c r="D1020" s="99" t="s">
        <v>176</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Voto por correo elector CERA en España</v>
      </c>
      <c r="C1021" s="85" t="str" cm="1">
        <f t="array" ref="C1021">IFERROR(INDEX('03.Muestra'!$F$8:$F$42,SMALL(IF("Página Web"='03.Muestra'!$D$8:$D$42,ROW('03.Muestra'!$F$8:$F$42)-MIN(ROW('03.Muestra'!$D$8:$D$42))+1,""),ROW()-1006)),"")</f>
        <v>https://elecciones.comunidad.madrid/es/preguntas-frecuentes/voto-correo-electores-residentes-extranjero</v>
      </c>
      <c r="D1021" s="99" t="s">
        <v>174</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Contacto</v>
      </c>
      <c r="C1022" s="85" t="str" cm="1">
        <f t="array" ref="C1022">IFERROR(INDEX('03.Muestra'!$F$8:$F$42,SMALL(IF("Página Web"='03.Muestra'!$D$8:$D$42,ROW('03.Muestra'!$F$8:$F$42)-MIN(ROW('03.Muestra'!$D$8:$D$42))+1,""),ROW()-1006)),"")</f>
        <v>https://elecciones.comunidad.madrid/es/buzon-de-sugerencias</v>
      </c>
      <c r="D1022" s="99" t="s">
        <v>176</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Buscador</v>
      </c>
      <c r="C1023" s="85" t="str" cm="1">
        <f t="array" ref="C1023">IFERROR(INDEX('03.Muestra'!$F$8:$F$42,SMALL(IF("Página Web"='03.Muestra'!$D$8:$D$42,ROW('03.Muestra'!$F$8:$F$42)-MIN(ROW('03.Muestra'!$D$8:$D$42))+1,""),ROW()-1006)),"")</f>
        <v>https://elecciones.comunidad.madrid/es/search?search_api_fulltext=partido</v>
      </c>
      <c r="D1023" s="99" t="s">
        <v>174</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Aviso Legal-Privacidad</v>
      </c>
      <c r="C1024" s="85" t="str" cm="1">
        <f t="array" ref="C1024">IFERROR(INDEX('03.Muestra'!$F$8:$F$42,SMALL(IF("Página Web"='03.Muestra'!$D$8:$D$42,ROW('03.Muestra'!$F$8:$F$42)-MIN(ROW('03.Muestra'!$D$8:$D$42))+1,""),ROW()-1006)),"")</f>
        <v>https://elecciones.comunidad.madrid/es/aviso-legal</v>
      </c>
      <c r="D1024" s="99" t="s">
        <v>174</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Mapa Web</v>
      </c>
      <c r="C1025" s="85" t="str" cm="1">
        <f t="array" ref="C1025">IFERROR(INDEX('03.Muestra'!$F$8:$F$42,SMALL(IF("Página Web"='03.Muestra'!$D$8:$D$42,ROW('03.Muestra'!$F$8:$F$42)-MIN(ROW('03.Muestra'!$D$8:$D$42))+1,""),ROW()-1006)),"")</f>
        <v>https://elecciones.comunidad.madrid/es/sitemap</v>
      </c>
      <c r="D1025" s="99" t="s">
        <v>174</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Declaracion Accesibilidad</v>
      </c>
      <c r="C1026" s="85" t="str" cm="1">
        <f t="array" ref="C1026">IFERROR(INDEX('03.Muestra'!$F$8:$F$42,SMALL(IF("Página Web"='03.Muestra'!$D$8:$D$42,ROW('03.Muestra'!$F$8:$F$42)-MIN(ROW('03.Muestra'!$D$8:$D$42))+1,""),ROW()-1006)),"")</f>
        <v>https://elecciones.comunidad.madrid/es/accesibilidad</v>
      </c>
      <c r="D1026" s="99" t="s">
        <v>174</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ref="D1027:D1041" si="53">IF(AND(B1027&lt;&gt;"",C1027&lt;&gt;""),"N/T","")</f>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181</v>
      </c>
      <c r="B1044" s="23" t="s">
        <v>173</v>
      </c>
      <c r="C1044" s="24" t="s">
        <v>251</v>
      </c>
      <c r="D1044" s="25" t="s">
        <v>183</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https://elecciones.comunidad.madrid/es</v>
      </c>
      <c r="D1045" s="99" t="s">
        <v>176</v>
      </c>
      <c r="E1045" s="79" t="str">
        <f t="shared" ref="E1045:E1079" si="54">IF(D1045&lt;&gt;"",IF(AND(B1045&lt;&gt;"",C1045&lt;&gt;""),"","ERR"),"")</f>
        <v/>
      </c>
      <c r="F1045" s="86" t="s">
        <v>185</v>
      </c>
      <c r="G1045" s="87" t="s">
        <v>186</v>
      </c>
      <c r="H1045" s="88" t="s">
        <v>184</v>
      </c>
      <c r="I1045" s="89" t="s">
        <v>176</v>
      </c>
      <c r="J1045" s="90" t="s">
        <v>174</v>
      </c>
      <c r="K1045" s="179" t="s">
        <v>180</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Resultado Elecciones 28M 2023</v>
      </c>
      <c r="C1046" s="85" t="str" cm="1">
        <f t="array" ref="C1046">IFERROR(INDEX('03.Muestra'!$F$8:$F$42,SMALL(IF("Página Web"='03.Muestra'!$D$8:$D$42,ROW('03.Muestra'!$F$8:$F$42)-MIN(ROW('03.Muestra'!$D$8:$D$42))+1,""),ROW()-1044)),"")</f>
        <v>https://elecciones.comunidad.madrid/es/resultados-elecciones-asamblea-madrid-28m-2023</v>
      </c>
      <c r="D1046" s="99" t="s">
        <v>176</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20</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Normativa electoral</v>
      </c>
      <c r="C1047" s="85" t="str" cm="1">
        <f t="array" ref="C1047">IFERROR(INDEX('03.Muestra'!$F$8:$F$42,SMALL(IF("Página Web"='03.Muestra'!$D$8:$D$42,ROW('03.Muestra'!$F$8:$F$42)-MIN(ROW('03.Muestra'!$D$8:$D$42))+1,""),ROW()-1044)),"")</f>
        <v>https://elecciones.comunidad.madrid/es/informacion-electoral/normativa-electoral</v>
      </c>
      <c r="D1047" s="99" t="s">
        <v>176</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Calendario electoral</v>
      </c>
      <c r="C1048" s="85" t="str" cm="1">
        <f t="array" ref="C1048">IFERROR(INDEX('03.Muestra'!$F$8:$F$42,SMALL(IF("Página Web"='03.Muestra'!$D$8:$D$42,ROW('03.Muestra'!$F$8:$F$42)-MIN(ROW('03.Muestra'!$D$8:$D$42))+1,""),ROW()-1044)),"")</f>
        <v>https://elecciones.comunidad.madrid/es/informacion-electoral/calendario-electoral</v>
      </c>
      <c r="D1048" s="99" t="s">
        <v>176</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Direcciones y teléfonos</v>
      </c>
      <c r="C1049" s="85" t="str" cm="1">
        <f t="array" ref="C1049">IFERROR(INDEX('03.Muestra'!$F$8:$F$42,SMALL(IF("Página Web"='03.Muestra'!$D$8:$D$42,ROW('03.Muestra'!$F$8:$F$42)-MIN(ROW('03.Muestra'!$D$8:$D$42))+1,""),ROW()-1044)),"")</f>
        <v>https://elecciones.comunidad.madrid/es/juntas-electorales/direcciones-telefonos</v>
      </c>
      <c r="D1049" s="99" t="s">
        <v>176</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Impresos electrónicos</v>
      </c>
      <c r="C1050" s="85" t="str" cm="1">
        <f t="array" ref="C1050">IFERROR(INDEX('03.Muestra'!$F$8:$F$42,SMALL(IF("Página Web"='03.Muestra'!$D$8:$D$42,ROW('03.Muestra'!$F$8:$F$42)-MIN(ROW('03.Muestra'!$D$8:$D$42))+1,""),ROW()-1044)),"")</f>
        <v>https://elecciones.comunidad.madrid/es/formaciones-politicas/impresos-electronicos</v>
      </c>
      <c r="D1050" s="99" t="s">
        <v>176</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Listado de candidaturas</v>
      </c>
      <c r="C1051" s="85" t="str" cm="1">
        <f t="array" ref="C1051">IFERROR(INDEX('03.Muestra'!$F$8:$F$42,SMALL(IF("Página Web"='03.Muestra'!$D$8:$D$42,ROW('03.Muestra'!$F$8:$F$42)-MIN(ROW('03.Muestra'!$D$8:$D$42))+1,""),ROW()-1044)),"")</f>
        <v>https://elecciones.comunidad.madrid/es/formaciones-politicas/listado-candidaturas-proclamadas</v>
      </c>
      <c r="D1051" s="99" t="s">
        <v>176</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Partido Feminista de España</v>
      </c>
      <c r="C1052" s="85" t="str" cm="1">
        <f t="array" ref="C1052">IFERROR(INDEX('03.Muestra'!$F$8:$F$42,SMALL(IF("Página Web"='03.Muestra'!$D$8:$D$42,ROW('03.Muestra'!$F$8:$F$42)-MIN(ROW('03.Muestra'!$D$8:$D$42))+1,""),ROW()-1044)),"")</f>
        <v>https://elecciones.comunidad.madrid/es/formaciones-politicas/listado-candidaturas/partido-feminista-espana</v>
      </c>
      <c r="D1052" s="99" t="s">
        <v>176</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¿Dónde voto?</v>
      </c>
      <c r="C1053" s="85" t="str" cm="1">
        <f t="array" ref="C1053">IFERROR(INDEX('03.Muestra'!$F$8:$F$42,SMALL(IF("Página Web"='03.Muestra'!$D$8:$D$42,ROW('03.Muestra'!$F$8:$F$42)-MIN(ROW('03.Muestra'!$D$8:$D$42))+1,""),ROW()-1044)),"")</f>
        <v>https://elecciones.comunidad.madrid/es/votar/donde-voto</v>
      </c>
      <c r="D1053" s="99" t="s">
        <v>176</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Voto presencial</v>
      </c>
      <c r="C1054" s="85" t="str" cm="1">
        <f t="array" ref="C1054">IFERROR(INDEX('03.Muestra'!$F$8:$F$42,SMALL(IF("Página Web"='03.Muestra'!$D$8:$D$42,ROW('03.Muestra'!$F$8:$F$42)-MIN(ROW('03.Muestra'!$D$8:$D$42))+1,""),ROW()-1044)),"")</f>
        <v>https://elecciones.comunidad.madrid/es/voto-local-electoral/voto-presencial</v>
      </c>
      <c r="D1054" s="99" t="s">
        <v>176</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Ciudadanos temporalmente en el extranjero</v>
      </c>
      <c r="C1055" s="85" t="str" cm="1">
        <f t="array" ref="C1055">IFERROR(INDEX('03.Muestra'!$F$8:$F$42,SMALL(IF("Página Web"='03.Muestra'!$D$8:$D$42,ROW('03.Muestra'!$F$8:$F$42)-MIN(ROW('03.Muestra'!$D$8:$D$42))+1,""),ROW()-1044)),"")</f>
        <v>https://elecciones.comunidad.madrid/es/voto-correo/solicitud-voto-temporalmente-ausentes</v>
      </c>
      <c r="D1055" s="99" t="s">
        <v>176</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Nuevo votante</v>
      </c>
      <c r="C1056" s="85" t="str" cm="1">
        <f t="array" ref="C1056">IFERROR(INDEX('03.Muestra'!$F$8:$F$42,SMALL(IF("Página Web"='03.Muestra'!$D$8:$D$42,ROW('03.Muestra'!$F$8:$F$42)-MIN(ROW('03.Muestra'!$D$8:$D$42))+1,""),ROW()-1044)),"")</f>
        <v>https://elecciones.comunidad.madrid/es/votar/nuevo-votante</v>
      </c>
      <c r="D1056" s="99" t="s">
        <v>176</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Simulación método D'Hondt</v>
      </c>
      <c r="C1057" s="85" t="str" cm="1">
        <f t="array" ref="C1057">IFERROR(INDEX('03.Muestra'!$F$8:$F$42,SMALL(IF("Página Web"='03.Muestra'!$D$8:$D$42,ROW('03.Muestra'!$F$8:$F$42)-MIN(ROW('03.Muestra'!$D$8:$D$42))+1,""),ROW()-1044)),"")</f>
        <v>https://elecciones.comunidad.madrid/es/informacion-util/simulacion-metodo-dhondt</v>
      </c>
      <c r="D1057" s="99" t="s">
        <v>176</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Ley D'Hondt</v>
      </c>
      <c r="C1058" s="85" t="str" cm="1">
        <f t="array" ref="C1058">IFERROR(INDEX('03.Muestra'!$F$8:$F$42,SMALL(IF("Página Web"='03.Muestra'!$D$8:$D$42,ROW('03.Muestra'!$F$8:$F$42)-MIN(ROW('03.Muestra'!$D$8:$D$42))+1,""),ROW()-1044)),"")</f>
        <v>https://elecciones.comunidad.madrid/es/resultados/ley_d_hondt</v>
      </c>
      <c r="D1058" s="99" t="s">
        <v>176</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Voto por correo elector CERA en España</v>
      </c>
      <c r="C1059" s="85" t="str" cm="1">
        <f t="array" ref="C1059">IFERROR(INDEX('03.Muestra'!$F$8:$F$42,SMALL(IF("Página Web"='03.Muestra'!$D$8:$D$42,ROW('03.Muestra'!$F$8:$F$42)-MIN(ROW('03.Muestra'!$D$8:$D$42))+1,""),ROW()-1044)),"")</f>
        <v>https://elecciones.comunidad.madrid/es/preguntas-frecuentes/voto-correo-electores-residentes-extranjero</v>
      </c>
      <c r="D1059" s="99" t="s">
        <v>176</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Contacto</v>
      </c>
      <c r="C1060" s="85" t="str" cm="1">
        <f t="array" ref="C1060">IFERROR(INDEX('03.Muestra'!$F$8:$F$42,SMALL(IF("Página Web"='03.Muestra'!$D$8:$D$42,ROW('03.Muestra'!$F$8:$F$42)-MIN(ROW('03.Muestra'!$D$8:$D$42))+1,""),ROW()-1044)),"")</f>
        <v>https://elecciones.comunidad.madrid/es/buzon-de-sugerencias</v>
      </c>
      <c r="D1060" s="99" t="s">
        <v>176</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Buscador</v>
      </c>
      <c r="C1061" s="85" t="str" cm="1">
        <f t="array" ref="C1061">IFERROR(INDEX('03.Muestra'!$F$8:$F$42,SMALL(IF("Página Web"='03.Muestra'!$D$8:$D$42,ROW('03.Muestra'!$F$8:$F$42)-MIN(ROW('03.Muestra'!$D$8:$D$42))+1,""),ROW()-1044)),"")</f>
        <v>https://elecciones.comunidad.madrid/es/search?search_api_fulltext=partido</v>
      </c>
      <c r="D1061" s="99" t="s">
        <v>176</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Aviso Legal-Privacidad</v>
      </c>
      <c r="C1062" s="85" t="str" cm="1">
        <f t="array" ref="C1062">IFERROR(INDEX('03.Muestra'!$F$8:$F$42,SMALL(IF("Página Web"='03.Muestra'!$D$8:$D$42,ROW('03.Muestra'!$F$8:$F$42)-MIN(ROW('03.Muestra'!$D$8:$D$42))+1,""),ROW()-1044)),"")</f>
        <v>https://elecciones.comunidad.madrid/es/aviso-legal</v>
      </c>
      <c r="D1062" s="99" t="s">
        <v>176</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Mapa Web</v>
      </c>
      <c r="C1063" s="85" t="str" cm="1">
        <f t="array" ref="C1063">IFERROR(INDEX('03.Muestra'!$F$8:$F$42,SMALL(IF("Página Web"='03.Muestra'!$D$8:$D$42,ROW('03.Muestra'!$F$8:$F$42)-MIN(ROW('03.Muestra'!$D$8:$D$42))+1,""),ROW()-1044)),"")</f>
        <v>https://elecciones.comunidad.madrid/es/sitemap</v>
      </c>
      <c r="D1063" s="99" t="s">
        <v>176</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Declaracion Accesibilidad</v>
      </c>
      <c r="C1064" s="85" t="str" cm="1">
        <f t="array" ref="C1064">IFERROR(INDEX('03.Muestra'!$F$8:$F$42,SMALL(IF("Página Web"='03.Muestra'!$D$8:$D$42,ROW('03.Muestra'!$F$8:$F$42)-MIN(ROW('03.Muestra'!$D$8:$D$42))+1,""),ROW()-1044)),"")</f>
        <v>https://elecciones.comunidad.madrid/es/accesibilidad</v>
      </c>
      <c r="D1064" s="99" t="s">
        <v>176</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ref="D1065:D1079" si="55">IF(AND(B1065&lt;&gt;"",C1065&lt;&gt;""),"N/T","")</f>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181</v>
      </c>
      <c r="B1082" s="23" t="s">
        <v>173</v>
      </c>
      <c r="C1082" s="24" t="s">
        <v>252</v>
      </c>
      <c r="D1082" s="25" t="s">
        <v>183</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https://elecciones.comunidad.madrid/es</v>
      </c>
      <c r="D1083" s="99" t="s">
        <v>176</v>
      </c>
      <c r="E1083" s="79" t="str">
        <f t="shared" ref="E1083:E1117" si="56">IF(D1083&lt;&gt;"",IF(AND(B1083&lt;&gt;"",C1083&lt;&gt;""),"","ERR"),"")</f>
        <v/>
      </c>
      <c r="F1083" s="86" t="s">
        <v>185</v>
      </c>
      <c r="G1083" s="87" t="s">
        <v>186</v>
      </c>
      <c r="H1083" s="88" t="s">
        <v>184</v>
      </c>
      <c r="I1083" s="89" t="s">
        <v>176</v>
      </c>
      <c r="J1083" s="90" t="s">
        <v>174</v>
      </c>
      <c r="K1083" s="179" t="s">
        <v>180</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Resultado Elecciones 28M 2023</v>
      </c>
      <c r="C1084" s="85" t="str" cm="1">
        <f t="array" ref="C1084">IFERROR(INDEX('03.Muestra'!$F$8:$F$42,SMALL(IF("Página Web"='03.Muestra'!$D$8:$D$42,ROW('03.Muestra'!$F$8:$F$42)-MIN(ROW('03.Muestra'!$D$8:$D$42))+1,""),ROW()-1082)),"")</f>
        <v>https://elecciones.comunidad.madrid/es/resultados-elecciones-asamblea-madrid-28m-2023</v>
      </c>
      <c r="D1084" s="99" t="s">
        <v>176</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20</v>
      </c>
      <c r="J1084" s="91">
        <f ca="1">COUNTIF($D1083:INDIRECT("$D" &amp;  SUM(ROW()-1,'03.Muestra'!$D$45)-1),J1083)</f>
        <v>0</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Normativa electoral</v>
      </c>
      <c r="C1085" s="85" t="str" cm="1">
        <f t="array" ref="C1085">IFERROR(INDEX('03.Muestra'!$F$8:$F$42,SMALL(IF("Página Web"='03.Muestra'!$D$8:$D$42,ROW('03.Muestra'!$F$8:$F$42)-MIN(ROW('03.Muestra'!$D$8:$D$42))+1,""),ROW()-1082)),"")</f>
        <v>https://elecciones.comunidad.madrid/es/informacion-electoral/normativa-electoral</v>
      </c>
      <c r="D1085" s="99" t="s">
        <v>176</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Calendario electoral</v>
      </c>
      <c r="C1086" s="85" t="str" cm="1">
        <f t="array" ref="C1086">IFERROR(INDEX('03.Muestra'!$F$8:$F$42,SMALL(IF("Página Web"='03.Muestra'!$D$8:$D$42,ROW('03.Muestra'!$F$8:$F$42)-MIN(ROW('03.Muestra'!$D$8:$D$42))+1,""),ROW()-1082)),"")</f>
        <v>https://elecciones.comunidad.madrid/es/informacion-electoral/calendario-electoral</v>
      </c>
      <c r="D1086" s="99" t="s">
        <v>176</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Direcciones y teléfonos</v>
      </c>
      <c r="C1087" s="85" t="str" cm="1">
        <f t="array" ref="C1087">IFERROR(INDEX('03.Muestra'!$F$8:$F$42,SMALL(IF("Página Web"='03.Muestra'!$D$8:$D$42,ROW('03.Muestra'!$F$8:$F$42)-MIN(ROW('03.Muestra'!$D$8:$D$42))+1,""),ROW()-1082)),"")</f>
        <v>https://elecciones.comunidad.madrid/es/juntas-electorales/direcciones-telefonos</v>
      </c>
      <c r="D1087" s="99" t="s">
        <v>176</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Impresos electrónicos</v>
      </c>
      <c r="C1088" s="85" t="str" cm="1">
        <f t="array" ref="C1088">IFERROR(INDEX('03.Muestra'!$F$8:$F$42,SMALL(IF("Página Web"='03.Muestra'!$D$8:$D$42,ROW('03.Muestra'!$F$8:$F$42)-MIN(ROW('03.Muestra'!$D$8:$D$42))+1,""),ROW()-1082)),"")</f>
        <v>https://elecciones.comunidad.madrid/es/formaciones-politicas/impresos-electronicos</v>
      </c>
      <c r="D1088" s="99" t="s">
        <v>176</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Listado de candidaturas</v>
      </c>
      <c r="C1089" s="85" t="str" cm="1">
        <f t="array" ref="C1089">IFERROR(INDEX('03.Muestra'!$F$8:$F$42,SMALL(IF("Página Web"='03.Muestra'!$D$8:$D$42,ROW('03.Muestra'!$F$8:$F$42)-MIN(ROW('03.Muestra'!$D$8:$D$42))+1,""),ROW()-1082)),"")</f>
        <v>https://elecciones.comunidad.madrid/es/formaciones-politicas/listado-candidaturas-proclamadas</v>
      </c>
      <c r="D1089" s="99" t="s">
        <v>176</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Partido Feminista de España</v>
      </c>
      <c r="C1090" s="85" t="str" cm="1">
        <f t="array" ref="C1090">IFERROR(INDEX('03.Muestra'!$F$8:$F$42,SMALL(IF("Página Web"='03.Muestra'!$D$8:$D$42,ROW('03.Muestra'!$F$8:$F$42)-MIN(ROW('03.Muestra'!$D$8:$D$42))+1,""),ROW()-1082)),"")</f>
        <v>https://elecciones.comunidad.madrid/es/formaciones-politicas/listado-candidaturas/partido-feminista-espana</v>
      </c>
      <c r="D1090" s="99" t="s">
        <v>176</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¿Dónde voto?</v>
      </c>
      <c r="C1091" s="85" t="str" cm="1">
        <f t="array" ref="C1091">IFERROR(INDEX('03.Muestra'!$F$8:$F$42,SMALL(IF("Página Web"='03.Muestra'!$D$8:$D$42,ROW('03.Muestra'!$F$8:$F$42)-MIN(ROW('03.Muestra'!$D$8:$D$42))+1,""),ROW()-1082)),"")</f>
        <v>https://elecciones.comunidad.madrid/es/votar/donde-voto</v>
      </c>
      <c r="D1091" s="99" t="s">
        <v>176</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Voto presencial</v>
      </c>
      <c r="C1092" s="85" t="str" cm="1">
        <f t="array" ref="C1092">IFERROR(INDEX('03.Muestra'!$F$8:$F$42,SMALL(IF("Página Web"='03.Muestra'!$D$8:$D$42,ROW('03.Muestra'!$F$8:$F$42)-MIN(ROW('03.Muestra'!$D$8:$D$42))+1,""),ROW()-1082)),"")</f>
        <v>https://elecciones.comunidad.madrid/es/voto-local-electoral/voto-presencial</v>
      </c>
      <c r="D1092" s="99" t="s">
        <v>176</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Ciudadanos temporalmente en el extranjero</v>
      </c>
      <c r="C1093" s="85" t="str" cm="1">
        <f t="array" ref="C1093">IFERROR(INDEX('03.Muestra'!$F$8:$F$42,SMALL(IF("Página Web"='03.Muestra'!$D$8:$D$42,ROW('03.Muestra'!$F$8:$F$42)-MIN(ROW('03.Muestra'!$D$8:$D$42))+1,""),ROW()-1082)),"")</f>
        <v>https://elecciones.comunidad.madrid/es/voto-correo/solicitud-voto-temporalmente-ausentes</v>
      </c>
      <c r="D1093" s="99" t="s">
        <v>176</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Nuevo votante</v>
      </c>
      <c r="C1094" s="85" t="str" cm="1">
        <f t="array" ref="C1094">IFERROR(INDEX('03.Muestra'!$F$8:$F$42,SMALL(IF("Página Web"='03.Muestra'!$D$8:$D$42,ROW('03.Muestra'!$F$8:$F$42)-MIN(ROW('03.Muestra'!$D$8:$D$42))+1,""),ROW()-1082)),"")</f>
        <v>https://elecciones.comunidad.madrid/es/votar/nuevo-votante</v>
      </c>
      <c r="D1094" s="99" t="s">
        <v>176</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Simulación método D'Hondt</v>
      </c>
      <c r="C1095" s="85" t="str" cm="1">
        <f t="array" ref="C1095">IFERROR(INDEX('03.Muestra'!$F$8:$F$42,SMALL(IF("Página Web"='03.Muestra'!$D$8:$D$42,ROW('03.Muestra'!$F$8:$F$42)-MIN(ROW('03.Muestra'!$D$8:$D$42))+1,""),ROW()-1082)),"")</f>
        <v>https://elecciones.comunidad.madrid/es/informacion-util/simulacion-metodo-dhondt</v>
      </c>
      <c r="D1095" s="99" t="s">
        <v>176</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Ley D'Hondt</v>
      </c>
      <c r="C1096" s="85" t="str" cm="1">
        <f t="array" ref="C1096">IFERROR(INDEX('03.Muestra'!$F$8:$F$42,SMALL(IF("Página Web"='03.Muestra'!$D$8:$D$42,ROW('03.Muestra'!$F$8:$F$42)-MIN(ROW('03.Muestra'!$D$8:$D$42))+1,""),ROW()-1082)),"")</f>
        <v>https://elecciones.comunidad.madrid/es/resultados/ley_d_hondt</v>
      </c>
      <c r="D1096" s="99" t="s">
        <v>176</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Voto por correo elector CERA en España</v>
      </c>
      <c r="C1097" s="85" t="str" cm="1">
        <f t="array" ref="C1097">IFERROR(INDEX('03.Muestra'!$F$8:$F$42,SMALL(IF("Página Web"='03.Muestra'!$D$8:$D$42,ROW('03.Muestra'!$F$8:$F$42)-MIN(ROW('03.Muestra'!$D$8:$D$42))+1,""),ROW()-1082)),"")</f>
        <v>https://elecciones.comunidad.madrid/es/preguntas-frecuentes/voto-correo-electores-residentes-extranjero</v>
      </c>
      <c r="D1097" s="99" t="s">
        <v>176</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Contacto</v>
      </c>
      <c r="C1098" s="85" t="str" cm="1">
        <f t="array" ref="C1098">IFERROR(INDEX('03.Muestra'!$F$8:$F$42,SMALL(IF("Página Web"='03.Muestra'!$D$8:$D$42,ROW('03.Muestra'!$F$8:$F$42)-MIN(ROW('03.Muestra'!$D$8:$D$42))+1,""),ROW()-1082)),"")</f>
        <v>https://elecciones.comunidad.madrid/es/buzon-de-sugerencias</v>
      </c>
      <c r="D1098" s="99" t="s">
        <v>176</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Buscador</v>
      </c>
      <c r="C1099" s="85" t="str" cm="1">
        <f t="array" ref="C1099">IFERROR(INDEX('03.Muestra'!$F$8:$F$42,SMALL(IF("Página Web"='03.Muestra'!$D$8:$D$42,ROW('03.Muestra'!$F$8:$F$42)-MIN(ROW('03.Muestra'!$D$8:$D$42))+1,""),ROW()-1082)),"")</f>
        <v>https://elecciones.comunidad.madrid/es/search?search_api_fulltext=partido</v>
      </c>
      <c r="D1099" s="99" t="s">
        <v>176</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Aviso Legal-Privacidad</v>
      </c>
      <c r="C1100" s="85" t="str" cm="1">
        <f t="array" ref="C1100">IFERROR(INDEX('03.Muestra'!$F$8:$F$42,SMALL(IF("Página Web"='03.Muestra'!$D$8:$D$42,ROW('03.Muestra'!$F$8:$F$42)-MIN(ROW('03.Muestra'!$D$8:$D$42))+1,""),ROW()-1082)),"")</f>
        <v>https://elecciones.comunidad.madrid/es/aviso-legal</v>
      </c>
      <c r="D1100" s="99" t="s">
        <v>176</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Mapa Web</v>
      </c>
      <c r="C1101" s="85" t="str" cm="1">
        <f t="array" ref="C1101">IFERROR(INDEX('03.Muestra'!$F$8:$F$42,SMALL(IF("Página Web"='03.Muestra'!$D$8:$D$42,ROW('03.Muestra'!$F$8:$F$42)-MIN(ROW('03.Muestra'!$D$8:$D$42))+1,""),ROW()-1082)),"")</f>
        <v>https://elecciones.comunidad.madrid/es/sitemap</v>
      </c>
      <c r="D1101" s="99" t="s">
        <v>176</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Declaracion Accesibilidad</v>
      </c>
      <c r="C1102" s="85" t="str" cm="1">
        <f t="array" ref="C1102">IFERROR(INDEX('03.Muestra'!$F$8:$F$42,SMALL(IF("Página Web"='03.Muestra'!$D$8:$D$42,ROW('03.Muestra'!$F$8:$F$42)-MIN(ROW('03.Muestra'!$D$8:$D$42))+1,""),ROW()-1082)),"")</f>
        <v>https://elecciones.comunidad.madrid/es/accesibilidad</v>
      </c>
      <c r="D1102" s="99" t="s">
        <v>176</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ref="D1103:D1117" si="57">IF(AND(B1103&lt;&gt;"",C1103&lt;&gt;""),"N/T","")</f>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181</v>
      </c>
      <c r="B1120" s="23" t="s">
        <v>173</v>
      </c>
      <c r="C1120" s="24" t="s">
        <v>253</v>
      </c>
      <c r="D1120" s="25" t="s">
        <v>183</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https://elecciones.comunidad.madrid/es</v>
      </c>
      <c r="D1121" s="99" t="s">
        <v>174</v>
      </c>
      <c r="E1121" s="79" t="str">
        <f t="shared" ref="E1121:E1155" si="58">IF(D1121&lt;&gt;"",IF(AND(B1121&lt;&gt;"",C1121&lt;&gt;""),"","ERR"),"")</f>
        <v/>
      </c>
      <c r="F1121" s="86" t="s">
        <v>185</v>
      </c>
      <c r="G1121" s="87" t="s">
        <v>186</v>
      </c>
      <c r="H1121" s="88" t="s">
        <v>184</v>
      </c>
      <c r="I1121" s="89" t="s">
        <v>176</v>
      </c>
      <c r="J1121" s="90" t="s">
        <v>174</v>
      </c>
      <c r="K1121" s="179" t="s">
        <v>180</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Resultado Elecciones 28M 2023</v>
      </c>
      <c r="C1122" s="85" t="str" cm="1">
        <f t="array" ref="C1122">IFERROR(INDEX('03.Muestra'!$F$8:$F$42,SMALL(IF("Página Web"='03.Muestra'!$D$8:$D$42,ROW('03.Muestra'!$F$8:$F$42)-MIN(ROW('03.Muestra'!$D$8:$D$42))+1,""),ROW()-1120)),"")</f>
        <v>https://elecciones.comunidad.madrid/es/resultados-elecciones-asamblea-madrid-28m-2023</v>
      </c>
      <c r="D1122" s="99" t="s">
        <v>174</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2</v>
      </c>
      <c r="J1122" s="91">
        <f ca="1">COUNTIF($D1121:INDIRECT("$D" &amp;  SUM(ROW()-1,'03.Muestra'!$D$45)-1),J1121)</f>
        <v>18</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Normativa electoral</v>
      </c>
      <c r="C1123" s="85" t="str" cm="1">
        <f t="array" ref="C1123">IFERROR(INDEX('03.Muestra'!$F$8:$F$42,SMALL(IF("Página Web"='03.Muestra'!$D$8:$D$42,ROW('03.Muestra'!$F$8:$F$42)-MIN(ROW('03.Muestra'!$D$8:$D$42))+1,""),ROW()-1120)),"")</f>
        <v>https://elecciones.comunidad.madrid/es/informacion-electoral/normativa-electoral</v>
      </c>
      <c r="D1123" s="99" t="s">
        <v>174</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Calendario electoral</v>
      </c>
      <c r="C1124" s="85" t="str" cm="1">
        <f t="array" ref="C1124">IFERROR(INDEX('03.Muestra'!$F$8:$F$42,SMALL(IF("Página Web"='03.Muestra'!$D$8:$D$42,ROW('03.Muestra'!$F$8:$F$42)-MIN(ROW('03.Muestra'!$D$8:$D$42))+1,""),ROW()-1120)),"")</f>
        <v>https://elecciones.comunidad.madrid/es/informacion-electoral/calendario-electoral</v>
      </c>
      <c r="D1124" s="99" t="s">
        <v>174</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Direcciones y teléfonos</v>
      </c>
      <c r="C1125" s="85" t="str" cm="1">
        <f t="array" ref="C1125">IFERROR(INDEX('03.Muestra'!$F$8:$F$42,SMALL(IF("Página Web"='03.Muestra'!$D$8:$D$42,ROW('03.Muestra'!$F$8:$F$42)-MIN(ROW('03.Muestra'!$D$8:$D$42))+1,""),ROW()-1120)),"")</f>
        <v>https://elecciones.comunidad.madrid/es/juntas-electorales/direcciones-telefonos</v>
      </c>
      <c r="D1125" s="99" t="s">
        <v>174</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Impresos electrónicos</v>
      </c>
      <c r="C1126" s="85" t="str" cm="1">
        <f t="array" ref="C1126">IFERROR(INDEX('03.Muestra'!$F$8:$F$42,SMALL(IF("Página Web"='03.Muestra'!$D$8:$D$42,ROW('03.Muestra'!$F$8:$F$42)-MIN(ROW('03.Muestra'!$D$8:$D$42))+1,""),ROW()-1120)),"")</f>
        <v>https://elecciones.comunidad.madrid/es/formaciones-politicas/impresos-electronicos</v>
      </c>
      <c r="D1126" s="99" t="s">
        <v>174</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Listado de candidaturas</v>
      </c>
      <c r="C1127" s="85" t="str" cm="1">
        <f t="array" ref="C1127">IFERROR(INDEX('03.Muestra'!$F$8:$F$42,SMALL(IF("Página Web"='03.Muestra'!$D$8:$D$42,ROW('03.Muestra'!$F$8:$F$42)-MIN(ROW('03.Muestra'!$D$8:$D$42))+1,""),ROW()-1120)),"")</f>
        <v>https://elecciones.comunidad.madrid/es/formaciones-politicas/listado-candidaturas-proclamadas</v>
      </c>
      <c r="D1127" s="99" t="s">
        <v>174</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Partido Feminista de España</v>
      </c>
      <c r="C1128" s="85" t="str" cm="1">
        <f t="array" ref="C1128">IFERROR(INDEX('03.Muestra'!$F$8:$F$42,SMALL(IF("Página Web"='03.Muestra'!$D$8:$D$42,ROW('03.Muestra'!$F$8:$F$42)-MIN(ROW('03.Muestra'!$D$8:$D$42))+1,""),ROW()-1120)),"")</f>
        <v>https://elecciones.comunidad.madrid/es/formaciones-politicas/listado-candidaturas/partido-feminista-espana</v>
      </c>
      <c r="D1128" s="211" t="s">
        <v>176</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¿Dónde voto?</v>
      </c>
      <c r="C1129" s="85" t="str" cm="1">
        <f t="array" ref="C1129">IFERROR(INDEX('03.Muestra'!$F$8:$F$42,SMALL(IF("Página Web"='03.Muestra'!$D$8:$D$42,ROW('03.Muestra'!$F$8:$F$42)-MIN(ROW('03.Muestra'!$D$8:$D$42))+1,""),ROW()-1120)),"")</f>
        <v>https://elecciones.comunidad.madrid/es/votar/donde-voto</v>
      </c>
      <c r="D1129" s="99" t="s">
        <v>174</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Voto presencial</v>
      </c>
      <c r="C1130" s="85" t="str" cm="1">
        <f t="array" ref="C1130">IFERROR(INDEX('03.Muestra'!$F$8:$F$42,SMALL(IF("Página Web"='03.Muestra'!$D$8:$D$42,ROW('03.Muestra'!$F$8:$F$42)-MIN(ROW('03.Muestra'!$D$8:$D$42))+1,""),ROW()-1120)),"")</f>
        <v>https://elecciones.comunidad.madrid/es/voto-local-electoral/voto-presencial</v>
      </c>
      <c r="D1130" s="99" t="s">
        <v>174</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Ciudadanos temporalmente en el extranjero</v>
      </c>
      <c r="C1131" s="85" t="str" cm="1">
        <f t="array" ref="C1131">IFERROR(INDEX('03.Muestra'!$F$8:$F$42,SMALL(IF("Página Web"='03.Muestra'!$D$8:$D$42,ROW('03.Muestra'!$F$8:$F$42)-MIN(ROW('03.Muestra'!$D$8:$D$42))+1,""),ROW()-1120)),"")</f>
        <v>https://elecciones.comunidad.madrid/es/voto-correo/solicitud-voto-temporalmente-ausentes</v>
      </c>
      <c r="D1131" s="99" t="s">
        <v>174</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Nuevo votante</v>
      </c>
      <c r="C1132" s="85" t="str" cm="1">
        <f t="array" ref="C1132">IFERROR(INDEX('03.Muestra'!$F$8:$F$42,SMALL(IF("Página Web"='03.Muestra'!$D$8:$D$42,ROW('03.Muestra'!$F$8:$F$42)-MIN(ROW('03.Muestra'!$D$8:$D$42))+1,""),ROW()-1120)),"")</f>
        <v>https://elecciones.comunidad.madrid/es/votar/nuevo-votante</v>
      </c>
      <c r="D1132" s="99" t="s">
        <v>174</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Simulación método D'Hondt</v>
      </c>
      <c r="C1133" s="85" t="str" cm="1">
        <f t="array" ref="C1133">IFERROR(INDEX('03.Muestra'!$F$8:$F$42,SMALL(IF("Página Web"='03.Muestra'!$D$8:$D$42,ROW('03.Muestra'!$F$8:$F$42)-MIN(ROW('03.Muestra'!$D$8:$D$42))+1,""),ROW()-1120)),"")</f>
        <v>https://elecciones.comunidad.madrid/es/informacion-util/simulacion-metodo-dhondt</v>
      </c>
      <c r="D1133" s="99" t="s">
        <v>174</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Ley D'Hondt</v>
      </c>
      <c r="C1134" s="85" t="str" cm="1">
        <f t="array" ref="C1134">IFERROR(INDEX('03.Muestra'!$F$8:$F$42,SMALL(IF("Página Web"='03.Muestra'!$D$8:$D$42,ROW('03.Muestra'!$F$8:$F$42)-MIN(ROW('03.Muestra'!$D$8:$D$42))+1,""),ROW()-1120)),"")</f>
        <v>https://elecciones.comunidad.madrid/es/resultados/ley_d_hondt</v>
      </c>
      <c r="D1134" s="99" t="s">
        <v>176</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Voto por correo elector CERA en España</v>
      </c>
      <c r="C1135" s="85" t="str" cm="1">
        <f t="array" ref="C1135">IFERROR(INDEX('03.Muestra'!$F$8:$F$42,SMALL(IF("Página Web"='03.Muestra'!$D$8:$D$42,ROW('03.Muestra'!$F$8:$F$42)-MIN(ROW('03.Muestra'!$D$8:$D$42))+1,""),ROW()-1120)),"")</f>
        <v>https://elecciones.comunidad.madrid/es/preguntas-frecuentes/voto-correo-electores-residentes-extranjero</v>
      </c>
      <c r="D1135" s="99" t="s">
        <v>174</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Contacto</v>
      </c>
      <c r="C1136" s="85" t="str" cm="1">
        <f t="array" ref="C1136">IFERROR(INDEX('03.Muestra'!$F$8:$F$42,SMALL(IF("Página Web"='03.Muestra'!$D$8:$D$42,ROW('03.Muestra'!$F$8:$F$42)-MIN(ROW('03.Muestra'!$D$8:$D$42))+1,""),ROW()-1120)),"")</f>
        <v>https://elecciones.comunidad.madrid/es/buzon-de-sugerencias</v>
      </c>
      <c r="D1136" s="99" t="s">
        <v>174</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Buscador</v>
      </c>
      <c r="C1137" s="85" t="str" cm="1">
        <f t="array" ref="C1137">IFERROR(INDEX('03.Muestra'!$F$8:$F$42,SMALL(IF("Página Web"='03.Muestra'!$D$8:$D$42,ROW('03.Muestra'!$F$8:$F$42)-MIN(ROW('03.Muestra'!$D$8:$D$42))+1,""),ROW()-1120)),"")</f>
        <v>https://elecciones.comunidad.madrid/es/search?search_api_fulltext=partido</v>
      </c>
      <c r="D1137" s="99" t="s">
        <v>174</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Aviso Legal-Privacidad</v>
      </c>
      <c r="C1138" s="85" t="str" cm="1">
        <f t="array" ref="C1138">IFERROR(INDEX('03.Muestra'!$F$8:$F$42,SMALL(IF("Página Web"='03.Muestra'!$D$8:$D$42,ROW('03.Muestra'!$F$8:$F$42)-MIN(ROW('03.Muestra'!$D$8:$D$42))+1,""),ROW()-1120)),"")</f>
        <v>https://elecciones.comunidad.madrid/es/aviso-legal</v>
      </c>
      <c r="D1138" s="99" t="s">
        <v>174</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Mapa Web</v>
      </c>
      <c r="C1139" s="85" t="str" cm="1">
        <f t="array" ref="C1139">IFERROR(INDEX('03.Muestra'!$F$8:$F$42,SMALL(IF("Página Web"='03.Muestra'!$D$8:$D$42,ROW('03.Muestra'!$F$8:$F$42)-MIN(ROW('03.Muestra'!$D$8:$D$42))+1,""),ROW()-1120)),"")</f>
        <v>https://elecciones.comunidad.madrid/es/sitemap</v>
      </c>
      <c r="D1139" s="99" t="s">
        <v>174</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Declaracion Accesibilidad</v>
      </c>
      <c r="C1140" s="85" t="str" cm="1">
        <f t="array" ref="C1140">IFERROR(INDEX('03.Muestra'!$F$8:$F$42,SMALL(IF("Página Web"='03.Muestra'!$D$8:$D$42,ROW('03.Muestra'!$F$8:$F$42)-MIN(ROW('03.Muestra'!$D$8:$D$42))+1,""),ROW()-1120)),"")</f>
        <v>https://elecciones.comunidad.madrid/es/accesibilidad</v>
      </c>
      <c r="D1140" s="99" t="s">
        <v>174</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ref="D1141:D1155" si="59">IF(AND(B1141&lt;&gt;"",C1141&lt;&gt;""),"N/T","")</f>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181</v>
      </c>
      <c r="B1158" s="23" t="s">
        <v>173</v>
      </c>
      <c r="C1158" s="24" t="s">
        <v>254</v>
      </c>
      <c r="D1158" s="25" t="s">
        <v>183</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https://elecciones.comunidad.madrid/es</v>
      </c>
      <c r="D1159" s="99" t="s">
        <v>174</v>
      </c>
      <c r="E1159" s="79" t="str">
        <f t="shared" ref="E1159:E1193" si="60">IF(D1159&lt;&gt;"",IF(AND(B1159&lt;&gt;"",C1159&lt;&gt;""),"","ERR"),"")</f>
        <v/>
      </c>
      <c r="F1159" s="86" t="s">
        <v>185</v>
      </c>
      <c r="G1159" s="87" t="s">
        <v>186</v>
      </c>
      <c r="H1159" s="88" t="s">
        <v>184</v>
      </c>
      <c r="I1159" s="89" t="s">
        <v>176</v>
      </c>
      <c r="J1159" s="90" t="s">
        <v>174</v>
      </c>
      <c r="K1159" s="179" t="s">
        <v>180</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Resultado Elecciones 28M 2023</v>
      </c>
      <c r="C1160" s="85" t="str" cm="1">
        <f t="array" ref="C1160">IFERROR(INDEX('03.Muestra'!$F$8:$F$42,SMALL(IF("Página Web"='03.Muestra'!$D$8:$D$42,ROW('03.Muestra'!$F$8:$F$42)-MIN(ROW('03.Muestra'!$D$8:$D$42))+1,""),ROW()-1158)),"")</f>
        <v>https://elecciones.comunidad.madrid/es/resultados-elecciones-asamblea-madrid-28m-2023</v>
      </c>
      <c r="D1160" s="99" t="s">
        <v>174</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2</v>
      </c>
      <c r="J1160" s="91">
        <f ca="1">COUNTIF($D1159:INDIRECT("$D" &amp;  SUM(ROW()-1,'03.Muestra'!$D$45)-1),J1159)</f>
        <v>18</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Normativa electoral</v>
      </c>
      <c r="C1161" s="85" t="str" cm="1">
        <f t="array" ref="C1161">IFERROR(INDEX('03.Muestra'!$F$8:$F$42,SMALL(IF("Página Web"='03.Muestra'!$D$8:$D$42,ROW('03.Muestra'!$F$8:$F$42)-MIN(ROW('03.Muestra'!$D$8:$D$42))+1,""),ROW()-1158)),"")</f>
        <v>https://elecciones.comunidad.madrid/es/informacion-electoral/normativa-electoral</v>
      </c>
      <c r="D1161" s="99" t="s">
        <v>174</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Calendario electoral</v>
      </c>
      <c r="C1162" s="85" t="str" cm="1">
        <f t="array" ref="C1162">IFERROR(INDEX('03.Muestra'!$F$8:$F$42,SMALL(IF("Página Web"='03.Muestra'!$D$8:$D$42,ROW('03.Muestra'!$F$8:$F$42)-MIN(ROW('03.Muestra'!$D$8:$D$42))+1,""),ROW()-1158)),"")</f>
        <v>https://elecciones.comunidad.madrid/es/informacion-electoral/calendario-electoral</v>
      </c>
      <c r="D1162" s="99" t="s">
        <v>174</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Direcciones y teléfonos</v>
      </c>
      <c r="C1163" s="85" t="str" cm="1">
        <f t="array" ref="C1163">IFERROR(INDEX('03.Muestra'!$F$8:$F$42,SMALL(IF("Página Web"='03.Muestra'!$D$8:$D$42,ROW('03.Muestra'!$F$8:$F$42)-MIN(ROW('03.Muestra'!$D$8:$D$42))+1,""),ROW()-1158)),"")</f>
        <v>https://elecciones.comunidad.madrid/es/juntas-electorales/direcciones-telefonos</v>
      </c>
      <c r="D1163" s="99" t="s">
        <v>174</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Impresos electrónicos</v>
      </c>
      <c r="C1164" s="85" t="str" cm="1">
        <f t="array" ref="C1164">IFERROR(INDEX('03.Muestra'!$F$8:$F$42,SMALL(IF("Página Web"='03.Muestra'!$D$8:$D$42,ROW('03.Muestra'!$F$8:$F$42)-MIN(ROW('03.Muestra'!$D$8:$D$42))+1,""),ROW()-1158)),"")</f>
        <v>https://elecciones.comunidad.madrid/es/formaciones-politicas/impresos-electronicos</v>
      </c>
      <c r="D1164" s="99" t="s">
        <v>174</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Listado de candidaturas</v>
      </c>
      <c r="C1165" s="85" t="str" cm="1">
        <f t="array" ref="C1165">IFERROR(INDEX('03.Muestra'!$F$8:$F$42,SMALL(IF("Página Web"='03.Muestra'!$D$8:$D$42,ROW('03.Muestra'!$F$8:$F$42)-MIN(ROW('03.Muestra'!$D$8:$D$42))+1,""),ROW()-1158)),"")</f>
        <v>https://elecciones.comunidad.madrid/es/formaciones-politicas/listado-candidaturas-proclamadas</v>
      </c>
      <c r="D1165" s="99" t="s">
        <v>174</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Partido Feminista de España</v>
      </c>
      <c r="C1166" s="85" t="str" cm="1">
        <f t="array" ref="C1166">IFERROR(INDEX('03.Muestra'!$F$8:$F$42,SMALL(IF("Página Web"='03.Muestra'!$D$8:$D$42,ROW('03.Muestra'!$F$8:$F$42)-MIN(ROW('03.Muestra'!$D$8:$D$42))+1,""),ROW()-1158)),"")</f>
        <v>https://elecciones.comunidad.madrid/es/formaciones-politicas/listado-candidaturas/partido-feminista-espana</v>
      </c>
      <c r="D1166" s="99" t="s">
        <v>174</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¿Dónde voto?</v>
      </c>
      <c r="C1167" s="85" t="str" cm="1">
        <f t="array" ref="C1167">IFERROR(INDEX('03.Muestra'!$F$8:$F$42,SMALL(IF("Página Web"='03.Muestra'!$D$8:$D$42,ROW('03.Muestra'!$F$8:$F$42)-MIN(ROW('03.Muestra'!$D$8:$D$42))+1,""),ROW()-1158)),"")</f>
        <v>https://elecciones.comunidad.madrid/es/votar/donde-voto</v>
      </c>
      <c r="D1167" s="99" t="s">
        <v>174</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Voto presencial</v>
      </c>
      <c r="C1168" s="85" t="str" cm="1">
        <f t="array" ref="C1168">IFERROR(INDEX('03.Muestra'!$F$8:$F$42,SMALL(IF("Página Web"='03.Muestra'!$D$8:$D$42,ROW('03.Muestra'!$F$8:$F$42)-MIN(ROW('03.Muestra'!$D$8:$D$42))+1,""),ROW()-1158)),"")</f>
        <v>https://elecciones.comunidad.madrid/es/voto-local-electoral/voto-presencial</v>
      </c>
      <c r="D1168" s="99" t="s">
        <v>174</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Ciudadanos temporalmente en el extranjero</v>
      </c>
      <c r="C1169" s="85" t="str" cm="1">
        <f t="array" ref="C1169">IFERROR(INDEX('03.Muestra'!$F$8:$F$42,SMALL(IF("Página Web"='03.Muestra'!$D$8:$D$42,ROW('03.Muestra'!$F$8:$F$42)-MIN(ROW('03.Muestra'!$D$8:$D$42))+1,""),ROW()-1158)),"")</f>
        <v>https://elecciones.comunidad.madrid/es/voto-correo/solicitud-voto-temporalmente-ausentes</v>
      </c>
      <c r="D1169" s="99" t="s">
        <v>174</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Nuevo votante</v>
      </c>
      <c r="C1170" s="85" t="str" cm="1">
        <f t="array" ref="C1170">IFERROR(INDEX('03.Muestra'!$F$8:$F$42,SMALL(IF("Página Web"='03.Muestra'!$D$8:$D$42,ROW('03.Muestra'!$F$8:$F$42)-MIN(ROW('03.Muestra'!$D$8:$D$42))+1,""),ROW()-1158)),"")</f>
        <v>https://elecciones.comunidad.madrid/es/votar/nuevo-votante</v>
      </c>
      <c r="D1170" s="99" t="s">
        <v>174</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Simulación método D'Hondt</v>
      </c>
      <c r="C1171" s="85" t="str" cm="1">
        <f t="array" ref="C1171">IFERROR(INDEX('03.Muestra'!$F$8:$F$42,SMALL(IF("Página Web"='03.Muestra'!$D$8:$D$42,ROW('03.Muestra'!$F$8:$F$42)-MIN(ROW('03.Muestra'!$D$8:$D$42))+1,""),ROW()-1158)),"")</f>
        <v>https://elecciones.comunidad.madrid/es/informacion-util/simulacion-metodo-dhondt</v>
      </c>
      <c r="D1171" s="99" t="s">
        <v>174</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Ley D'Hondt</v>
      </c>
      <c r="C1172" s="85" t="str" cm="1">
        <f t="array" ref="C1172">IFERROR(INDEX('03.Muestra'!$F$8:$F$42,SMALL(IF("Página Web"='03.Muestra'!$D$8:$D$42,ROW('03.Muestra'!$F$8:$F$42)-MIN(ROW('03.Muestra'!$D$8:$D$42))+1,""),ROW()-1158)),"")</f>
        <v>https://elecciones.comunidad.madrid/es/resultados/ley_d_hondt</v>
      </c>
      <c r="D1172" s="99" t="s">
        <v>176</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Voto por correo elector CERA en España</v>
      </c>
      <c r="C1173" s="85" t="str" cm="1">
        <f t="array" ref="C1173">IFERROR(INDEX('03.Muestra'!$F$8:$F$42,SMALL(IF("Página Web"='03.Muestra'!$D$8:$D$42,ROW('03.Muestra'!$F$8:$F$42)-MIN(ROW('03.Muestra'!$D$8:$D$42))+1,""),ROW()-1158)),"")</f>
        <v>https://elecciones.comunidad.madrid/es/preguntas-frecuentes/voto-correo-electores-residentes-extranjero</v>
      </c>
      <c r="D1173" s="99" t="s">
        <v>174</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Contacto</v>
      </c>
      <c r="C1174" s="85" t="str" cm="1">
        <f t="array" ref="C1174">IFERROR(INDEX('03.Muestra'!$F$8:$F$42,SMALL(IF("Página Web"='03.Muestra'!$D$8:$D$42,ROW('03.Muestra'!$F$8:$F$42)-MIN(ROW('03.Muestra'!$D$8:$D$42))+1,""),ROW()-1158)),"")</f>
        <v>https://elecciones.comunidad.madrid/es/buzon-de-sugerencias</v>
      </c>
      <c r="D1174" s="99" t="s">
        <v>176</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Buscador</v>
      </c>
      <c r="C1175" s="85" t="str" cm="1">
        <f t="array" ref="C1175">IFERROR(INDEX('03.Muestra'!$F$8:$F$42,SMALL(IF("Página Web"='03.Muestra'!$D$8:$D$42,ROW('03.Muestra'!$F$8:$F$42)-MIN(ROW('03.Muestra'!$D$8:$D$42))+1,""),ROW()-1158)),"")</f>
        <v>https://elecciones.comunidad.madrid/es/search?search_api_fulltext=partido</v>
      </c>
      <c r="D1175" s="99" t="s">
        <v>174</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Aviso Legal-Privacidad</v>
      </c>
      <c r="C1176" s="85" t="str" cm="1">
        <f t="array" ref="C1176">IFERROR(INDEX('03.Muestra'!$F$8:$F$42,SMALL(IF("Página Web"='03.Muestra'!$D$8:$D$42,ROW('03.Muestra'!$F$8:$F$42)-MIN(ROW('03.Muestra'!$D$8:$D$42))+1,""),ROW()-1158)),"")</f>
        <v>https://elecciones.comunidad.madrid/es/aviso-legal</v>
      </c>
      <c r="D1176" s="99" t="s">
        <v>174</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Mapa Web</v>
      </c>
      <c r="C1177" s="85" t="str" cm="1">
        <f t="array" ref="C1177">IFERROR(INDEX('03.Muestra'!$F$8:$F$42,SMALL(IF("Página Web"='03.Muestra'!$D$8:$D$42,ROW('03.Muestra'!$F$8:$F$42)-MIN(ROW('03.Muestra'!$D$8:$D$42))+1,""),ROW()-1158)),"")</f>
        <v>https://elecciones.comunidad.madrid/es/sitemap</v>
      </c>
      <c r="D1177" s="99" t="s">
        <v>174</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Declaracion Accesibilidad</v>
      </c>
      <c r="C1178" s="85" t="str" cm="1">
        <f t="array" ref="C1178">IFERROR(INDEX('03.Muestra'!$F$8:$F$42,SMALL(IF("Página Web"='03.Muestra'!$D$8:$D$42,ROW('03.Muestra'!$F$8:$F$42)-MIN(ROW('03.Muestra'!$D$8:$D$42))+1,""),ROW()-1158)),"")</f>
        <v>https://elecciones.comunidad.madrid/es/accesibilidad</v>
      </c>
      <c r="D1178" s="99" t="s">
        <v>174</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ref="D1179:D1193" si="61">IF(AND(B1179&lt;&gt;"",C1179&lt;&gt;""),"N/T","")</f>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181</v>
      </c>
      <c r="B1196" s="23" t="s">
        <v>173</v>
      </c>
      <c r="C1196" s="24" t="s">
        <v>255</v>
      </c>
      <c r="D1196" s="25" t="s">
        <v>183</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https://elecciones.comunidad.madrid/es</v>
      </c>
      <c r="D1197" s="99" t="s">
        <v>176</v>
      </c>
      <c r="E1197" s="79" t="str">
        <f t="shared" ref="E1197:E1231" si="62">IF(D1197&lt;&gt;"",IF(AND(B1197&lt;&gt;"",C1197&lt;&gt;""),"","ERR"),"")</f>
        <v/>
      </c>
      <c r="F1197" s="86" t="s">
        <v>185</v>
      </c>
      <c r="G1197" s="87" t="s">
        <v>186</v>
      </c>
      <c r="H1197" s="88" t="s">
        <v>184</v>
      </c>
      <c r="I1197" s="89" t="s">
        <v>176</v>
      </c>
      <c r="J1197" s="90" t="s">
        <v>174</v>
      </c>
      <c r="K1197" s="179" t="s">
        <v>180</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Resultado Elecciones 28M 2023</v>
      </c>
      <c r="C1198" s="85" t="str" cm="1">
        <f t="array" ref="C1198">IFERROR(INDEX('03.Muestra'!$F$8:$F$42,SMALL(IF("Página Web"='03.Muestra'!$D$8:$D$42,ROW('03.Muestra'!$F$8:$F$42)-MIN(ROW('03.Muestra'!$D$8:$D$42))+1,""),ROW()-1196)),"")</f>
        <v>https://elecciones.comunidad.madrid/es/resultados-elecciones-asamblea-madrid-28m-2023</v>
      </c>
      <c r="D1198" s="99" t="s">
        <v>176</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20</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Normativa electoral</v>
      </c>
      <c r="C1199" s="85" t="str" cm="1">
        <f t="array" ref="C1199">IFERROR(INDEX('03.Muestra'!$F$8:$F$42,SMALL(IF("Página Web"='03.Muestra'!$D$8:$D$42,ROW('03.Muestra'!$F$8:$F$42)-MIN(ROW('03.Muestra'!$D$8:$D$42))+1,""),ROW()-1196)),"")</f>
        <v>https://elecciones.comunidad.madrid/es/informacion-electoral/normativa-electoral</v>
      </c>
      <c r="D1199" s="99" t="s">
        <v>176</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Calendario electoral</v>
      </c>
      <c r="C1200" s="85" t="str" cm="1">
        <f t="array" ref="C1200">IFERROR(INDEX('03.Muestra'!$F$8:$F$42,SMALL(IF("Página Web"='03.Muestra'!$D$8:$D$42,ROW('03.Muestra'!$F$8:$F$42)-MIN(ROW('03.Muestra'!$D$8:$D$42))+1,""),ROW()-1196)),"")</f>
        <v>https://elecciones.comunidad.madrid/es/informacion-electoral/calendario-electoral</v>
      </c>
      <c r="D1200" s="99" t="s">
        <v>176</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Direcciones y teléfonos</v>
      </c>
      <c r="C1201" s="85" t="str" cm="1">
        <f t="array" ref="C1201">IFERROR(INDEX('03.Muestra'!$F$8:$F$42,SMALL(IF("Página Web"='03.Muestra'!$D$8:$D$42,ROW('03.Muestra'!$F$8:$F$42)-MIN(ROW('03.Muestra'!$D$8:$D$42))+1,""),ROW()-1196)),"")</f>
        <v>https://elecciones.comunidad.madrid/es/juntas-electorales/direcciones-telefonos</v>
      </c>
      <c r="D1201" s="99" t="s">
        <v>176</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Impresos electrónicos</v>
      </c>
      <c r="C1202" s="85" t="str" cm="1">
        <f t="array" ref="C1202">IFERROR(INDEX('03.Muestra'!$F$8:$F$42,SMALL(IF("Página Web"='03.Muestra'!$D$8:$D$42,ROW('03.Muestra'!$F$8:$F$42)-MIN(ROW('03.Muestra'!$D$8:$D$42))+1,""),ROW()-1196)),"")</f>
        <v>https://elecciones.comunidad.madrid/es/formaciones-politicas/impresos-electronicos</v>
      </c>
      <c r="D1202" s="99" t="s">
        <v>176</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Listado de candidaturas</v>
      </c>
      <c r="C1203" s="85" t="str" cm="1">
        <f t="array" ref="C1203">IFERROR(INDEX('03.Muestra'!$F$8:$F$42,SMALL(IF("Página Web"='03.Muestra'!$D$8:$D$42,ROW('03.Muestra'!$F$8:$F$42)-MIN(ROW('03.Muestra'!$D$8:$D$42))+1,""),ROW()-1196)),"")</f>
        <v>https://elecciones.comunidad.madrid/es/formaciones-politicas/listado-candidaturas-proclamadas</v>
      </c>
      <c r="D1203" s="99" t="s">
        <v>176</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Partido Feminista de España</v>
      </c>
      <c r="C1204" s="85" t="str" cm="1">
        <f t="array" ref="C1204">IFERROR(INDEX('03.Muestra'!$F$8:$F$42,SMALL(IF("Página Web"='03.Muestra'!$D$8:$D$42,ROW('03.Muestra'!$F$8:$F$42)-MIN(ROW('03.Muestra'!$D$8:$D$42))+1,""),ROW()-1196)),"")</f>
        <v>https://elecciones.comunidad.madrid/es/formaciones-politicas/listado-candidaturas/partido-feminista-espana</v>
      </c>
      <c r="D1204" s="99" t="s">
        <v>176</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¿Dónde voto?</v>
      </c>
      <c r="C1205" s="85" t="str" cm="1">
        <f t="array" ref="C1205">IFERROR(INDEX('03.Muestra'!$F$8:$F$42,SMALL(IF("Página Web"='03.Muestra'!$D$8:$D$42,ROW('03.Muestra'!$F$8:$F$42)-MIN(ROW('03.Muestra'!$D$8:$D$42))+1,""),ROW()-1196)),"")</f>
        <v>https://elecciones.comunidad.madrid/es/votar/donde-voto</v>
      </c>
      <c r="D1205" s="99" t="s">
        <v>176</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Voto presencial</v>
      </c>
      <c r="C1206" s="85" t="str" cm="1">
        <f t="array" ref="C1206">IFERROR(INDEX('03.Muestra'!$F$8:$F$42,SMALL(IF("Página Web"='03.Muestra'!$D$8:$D$42,ROW('03.Muestra'!$F$8:$F$42)-MIN(ROW('03.Muestra'!$D$8:$D$42))+1,""),ROW()-1196)),"")</f>
        <v>https://elecciones.comunidad.madrid/es/voto-local-electoral/voto-presencial</v>
      </c>
      <c r="D1206" s="99" t="s">
        <v>176</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Ciudadanos temporalmente en el extranjero</v>
      </c>
      <c r="C1207" s="85" t="str" cm="1">
        <f t="array" ref="C1207">IFERROR(INDEX('03.Muestra'!$F$8:$F$42,SMALL(IF("Página Web"='03.Muestra'!$D$8:$D$42,ROW('03.Muestra'!$F$8:$F$42)-MIN(ROW('03.Muestra'!$D$8:$D$42))+1,""),ROW()-1196)),"")</f>
        <v>https://elecciones.comunidad.madrid/es/voto-correo/solicitud-voto-temporalmente-ausentes</v>
      </c>
      <c r="D1207" s="99" t="s">
        <v>176</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Nuevo votante</v>
      </c>
      <c r="C1208" s="85" t="str" cm="1">
        <f t="array" ref="C1208">IFERROR(INDEX('03.Muestra'!$F$8:$F$42,SMALL(IF("Página Web"='03.Muestra'!$D$8:$D$42,ROW('03.Muestra'!$F$8:$F$42)-MIN(ROW('03.Muestra'!$D$8:$D$42))+1,""),ROW()-1196)),"")</f>
        <v>https://elecciones.comunidad.madrid/es/votar/nuevo-votante</v>
      </c>
      <c r="D1208" s="99" t="s">
        <v>176</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Simulación método D'Hondt</v>
      </c>
      <c r="C1209" s="85" t="str" cm="1">
        <f t="array" ref="C1209">IFERROR(INDEX('03.Muestra'!$F$8:$F$42,SMALL(IF("Página Web"='03.Muestra'!$D$8:$D$42,ROW('03.Muestra'!$F$8:$F$42)-MIN(ROW('03.Muestra'!$D$8:$D$42))+1,""),ROW()-1196)),"")</f>
        <v>https://elecciones.comunidad.madrid/es/informacion-util/simulacion-metodo-dhondt</v>
      </c>
      <c r="D1209" s="99" t="s">
        <v>176</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Ley D'Hondt</v>
      </c>
      <c r="C1210" s="85" t="str" cm="1">
        <f t="array" ref="C1210">IFERROR(INDEX('03.Muestra'!$F$8:$F$42,SMALL(IF("Página Web"='03.Muestra'!$D$8:$D$42,ROW('03.Muestra'!$F$8:$F$42)-MIN(ROW('03.Muestra'!$D$8:$D$42))+1,""),ROW()-1196)),"")</f>
        <v>https://elecciones.comunidad.madrid/es/resultados/ley_d_hondt</v>
      </c>
      <c r="D1210" s="99" t="s">
        <v>176</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Voto por correo elector CERA en España</v>
      </c>
      <c r="C1211" s="85" t="str" cm="1">
        <f t="array" ref="C1211">IFERROR(INDEX('03.Muestra'!$F$8:$F$42,SMALL(IF("Página Web"='03.Muestra'!$D$8:$D$42,ROW('03.Muestra'!$F$8:$F$42)-MIN(ROW('03.Muestra'!$D$8:$D$42))+1,""),ROW()-1196)),"")</f>
        <v>https://elecciones.comunidad.madrid/es/preguntas-frecuentes/voto-correo-electores-residentes-extranjero</v>
      </c>
      <c r="D1211" s="99" t="s">
        <v>176</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Contacto</v>
      </c>
      <c r="C1212" s="85" t="str" cm="1">
        <f t="array" ref="C1212">IFERROR(INDEX('03.Muestra'!$F$8:$F$42,SMALL(IF("Página Web"='03.Muestra'!$D$8:$D$42,ROW('03.Muestra'!$F$8:$F$42)-MIN(ROW('03.Muestra'!$D$8:$D$42))+1,""),ROW()-1196)),"")</f>
        <v>https://elecciones.comunidad.madrid/es/buzon-de-sugerencias</v>
      </c>
      <c r="D1212" s="99" t="s">
        <v>176</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Buscador</v>
      </c>
      <c r="C1213" s="85" t="str" cm="1">
        <f t="array" ref="C1213">IFERROR(INDEX('03.Muestra'!$F$8:$F$42,SMALL(IF("Página Web"='03.Muestra'!$D$8:$D$42,ROW('03.Muestra'!$F$8:$F$42)-MIN(ROW('03.Muestra'!$D$8:$D$42))+1,""),ROW()-1196)),"")</f>
        <v>https://elecciones.comunidad.madrid/es/search?search_api_fulltext=partido</v>
      </c>
      <c r="D1213" s="99" t="s">
        <v>176</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Aviso Legal-Privacidad</v>
      </c>
      <c r="C1214" s="85" t="str" cm="1">
        <f t="array" ref="C1214">IFERROR(INDEX('03.Muestra'!$F$8:$F$42,SMALL(IF("Página Web"='03.Muestra'!$D$8:$D$42,ROW('03.Muestra'!$F$8:$F$42)-MIN(ROW('03.Muestra'!$D$8:$D$42))+1,""),ROW()-1196)),"")</f>
        <v>https://elecciones.comunidad.madrid/es/aviso-legal</v>
      </c>
      <c r="D1214" s="99" t="s">
        <v>176</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Mapa Web</v>
      </c>
      <c r="C1215" s="85" t="str" cm="1">
        <f t="array" ref="C1215">IFERROR(INDEX('03.Muestra'!$F$8:$F$42,SMALL(IF("Página Web"='03.Muestra'!$D$8:$D$42,ROW('03.Muestra'!$F$8:$F$42)-MIN(ROW('03.Muestra'!$D$8:$D$42))+1,""),ROW()-1196)),"")</f>
        <v>https://elecciones.comunidad.madrid/es/sitemap</v>
      </c>
      <c r="D1215" s="99" t="s">
        <v>176</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Declaracion Accesibilidad</v>
      </c>
      <c r="C1216" s="85" t="str" cm="1">
        <f t="array" ref="C1216">IFERROR(INDEX('03.Muestra'!$F$8:$F$42,SMALL(IF("Página Web"='03.Muestra'!$D$8:$D$42,ROW('03.Muestra'!$F$8:$F$42)-MIN(ROW('03.Muestra'!$D$8:$D$42))+1,""),ROW()-1196)),"")</f>
        <v>https://elecciones.comunidad.madrid/es/accesibilidad</v>
      </c>
      <c r="D1216" s="99" t="s">
        <v>176</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ref="D1217:D1231" si="63">IF(AND(B1217&lt;&gt;"",C1217&lt;&gt;""),"N/T","")</f>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181</v>
      </c>
      <c r="B1234" s="23" t="s">
        <v>173</v>
      </c>
      <c r="C1234" s="24" t="s">
        <v>256</v>
      </c>
      <c r="D1234" s="25" t="s">
        <v>183</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https://elecciones.comunidad.madrid/es</v>
      </c>
      <c r="D1235" s="99" t="s">
        <v>184</v>
      </c>
      <c r="E1235" s="79" t="str">
        <f t="shared" ref="E1235:E1269" si="64">IF(D1235&lt;&gt;"",IF(AND(B1235&lt;&gt;"",C1235&lt;&gt;""),"","ERR"),"")</f>
        <v/>
      </c>
      <c r="F1235" s="86" t="s">
        <v>185</v>
      </c>
      <c r="G1235" s="87" t="s">
        <v>186</v>
      </c>
      <c r="H1235" s="88" t="s">
        <v>184</v>
      </c>
      <c r="I1235" s="89" t="s">
        <v>176</v>
      </c>
      <c r="J1235" s="90" t="s">
        <v>174</v>
      </c>
      <c r="K1235" s="179" t="s">
        <v>180</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Resultado Elecciones 28M 2023</v>
      </c>
      <c r="C1236" s="85" t="str" cm="1">
        <f t="array" ref="C1236">IFERROR(INDEX('03.Muestra'!$F$8:$F$42,SMALL(IF("Página Web"='03.Muestra'!$D$8:$D$42,ROW('03.Muestra'!$F$8:$F$42)-MIN(ROW('03.Muestra'!$D$8:$D$42))+1,""),ROW()-1234)),"")</f>
        <v>https://elecciones.comunidad.madrid/es/resultados-elecciones-asamblea-madrid-28m-2023</v>
      </c>
      <c r="D1236" s="99" t="s">
        <v>184</v>
      </c>
      <c r="E1236" s="79" t="str">
        <f t="shared" si="64"/>
        <v/>
      </c>
      <c r="F1236" s="91">
        <f ca="1">COUNTIF($D1235:INDIRECT("$D" &amp;  SUM(ROW()-1,'03.Muestra'!$D$45)-1),F1235)</f>
        <v>0</v>
      </c>
      <c r="G1236" s="91">
        <f ca="1">COUNTIF($D1235:INDIRECT("$D" &amp;  SUM(ROW()-1,'03.Muestra'!$D$45)-1),G1235)</f>
        <v>0</v>
      </c>
      <c r="H1236" s="91">
        <f ca="1">COUNTIF($D1235:INDIRECT("$D" &amp;  SUM(ROW()-1,'03.Muestra'!$D$45)-1),H1235)</f>
        <v>20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Normativa electoral</v>
      </c>
      <c r="C1237" s="85" t="str" cm="1">
        <f t="array" ref="C1237">IFERROR(INDEX('03.Muestra'!$F$8:$F$42,SMALL(IF("Página Web"='03.Muestra'!$D$8:$D$42,ROW('03.Muestra'!$F$8:$F$42)-MIN(ROW('03.Muestra'!$D$8:$D$42))+1,""),ROW()-1234)),"")</f>
        <v>https://elecciones.comunidad.madrid/es/informacion-electoral/normativa-electoral</v>
      </c>
      <c r="D1237" s="99" t="s">
        <v>184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Calendario electoral</v>
      </c>
      <c r="C1238" s="85" t="str" cm="1">
        <f t="array" ref="C1238">IFERROR(INDEX('03.Muestra'!$F$8:$F$42,SMALL(IF("Página Web"='03.Muestra'!$D$8:$D$42,ROW('03.Muestra'!$F$8:$F$42)-MIN(ROW('03.Muestra'!$D$8:$D$42))+1,""),ROW()-1234)),"")</f>
        <v>https://elecciones.comunidad.madrid/es/informacion-electoral/calendario-electoral</v>
      </c>
      <c r="D1238" s="99" t="s">
        <v>184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Direcciones y teléfonos</v>
      </c>
      <c r="C1239" s="85" t="str" cm="1">
        <f t="array" ref="C1239">IFERROR(INDEX('03.Muestra'!$F$8:$F$42,SMALL(IF("Página Web"='03.Muestra'!$D$8:$D$42,ROW('03.Muestra'!$F$8:$F$42)-MIN(ROW('03.Muestra'!$D$8:$D$42))+1,""),ROW()-1234)),"")</f>
        <v>https://elecciones.comunidad.madrid/es/juntas-electorales/direcciones-telefonos</v>
      </c>
      <c r="D1239" s="99" t="s">
        <v>184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Impresos electrónicos</v>
      </c>
      <c r="C1240" s="85" t="str" cm="1">
        <f t="array" ref="C1240">IFERROR(INDEX('03.Muestra'!$F$8:$F$42,SMALL(IF("Página Web"='03.Muestra'!$D$8:$D$42,ROW('03.Muestra'!$F$8:$F$42)-MIN(ROW('03.Muestra'!$D$8:$D$42))+1,""),ROW()-1234)),"")</f>
        <v>https://elecciones.comunidad.madrid/es/formaciones-politicas/impresos-electronicos</v>
      </c>
      <c r="D1240" s="99" t="s">
        <v>184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Listado de candidaturas</v>
      </c>
      <c r="C1241" s="85" t="str" cm="1">
        <f t="array" ref="C1241">IFERROR(INDEX('03.Muestra'!$F$8:$F$42,SMALL(IF("Página Web"='03.Muestra'!$D$8:$D$42,ROW('03.Muestra'!$F$8:$F$42)-MIN(ROW('03.Muestra'!$D$8:$D$42))+1,""),ROW()-1234)),"")</f>
        <v>https://elecciones.comunidad.madrid/es/formaciones-politicas/listado-candidaturas-proclamadas</v>
      </c>
      <c r="D1241" s="99" t="s">
        <v>184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Partido Feminista de España</v>
      </c>
      <c r="C1242" s="85" t="str" cm="1">
        <f t="array" ref="C1242">IFERROR(INDEX('03.Muestra'!$F$8:$F$42,SMALL(IF("Página Web"='03.Muestra'!$D$8:$D$42,ROW('03.Muestra'!$F$8:$F$42)-MIN(ROW('03.Muestra'!$D$8:$D$42))+1,""),ROW()-1234)),"")</f>
        <v>https://elecciones.comunidad.madrid/es/formaciones-politicas/listado-candidaturas/partido-feminista-espana</v>
      </c>
      <c r="D1242" s="99" t="s">
        <v>184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¿Dónde voto?</v>
      </c>
      <c r="C1243" s="85" t="str" cm="1">
        <f t="array" ref="C1243">IFERROR(INDEX('03.Muestra'!$F$8:$F$42,SMALL(IF("Página Web"='03.Muestra'!$D$8:$D$42,ROW('03.Muestra'!$F$8:$F$42)-MIN(ROW('03.Muestra'!$D$8:$D$42))+1,""),ROW()-1234)),"")</f>
        <v>https://elecciones.comunidad.madrid/es/votar/donde-voto</v>
      </c>
      <c r="D1243" s="99" t="s">
        <v>184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Voto presencial</v>
      </c>
      <c r="C1244" s="85" t="str" cm="1">
        <f t="array" ref="C1244">IFERROR(INDEX('03.Muestra'!$F$8:$F$42,SMALL(IF("Página Web"='03.Muestra'!$D$8:$D$42,ROW('03.Muestra'!$F$8:$F$42)-MIN(ROW('03.Muestra'!$D$8:$D$42))+1,""),ROW()-1234)),"")</f>
        <v>https://elecciones.comunidad.madrid/es/voto-local-electoral/voto-presencial</v>
      </c>
      <c r="D1244" s="99" t="s">
        <v>184</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Ciudadanos temporalmente en el extranjero</v>
      </c>
      <c r="C1245" s="85" t="str" cm="1">
        <f t="array" ref="C1245">IFERROR(INDEX('03.Muestra'!$F$8:$F$42,SMALL(IF("Página Web"='03.Muestra'!$D$8:$D$42,ROW('03.Muestra'!$F$8:$F$42)-MIN(ROW('03.Muestra'!$D$8:$D$42))+1,""),ROW()-1234)),"")</f>
        <v>https://elecciones.comunidad.madrid/es/voto-correo/solicitud-voto-temporalmente-ausentes</v>
      </c>
      <c r="D1245" s="99" t="s">
        <v>184</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Nuevo votante</v>
      </c>
      <c r="C1246" s="85" t="str" cm="1">
        <f t="array" ref="C1246">IFERROR(INDEX('03.Muestra'!$F$8:$F$42,SMALL(IF("Página Web"='03.Muestra'!$D$8:$D$42,ROW('03.Muestra'!$F$8:$F$42)-MIN(ROW('03.Muestra'!$D$8:$D$42))+1,""),ROW()-1234)),"")</f>
        <v>https://elecciones.comunidad.madrid/es/votar/nuevo-votante</v>
      </c>
      <c r="D1246" s="99" t="s">
        <v>184</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Simulación método D'Hondt</v>
      </c>
      <c r="C1247" s="85" t="str" cm="1">
        <f t="array" ref="C1247">IFERROR(INDEX('03.Muestra'!$F$8:$F$42,SMALL(IF("Página Web"='03.Muestra'!$D$8:$D$42,ROW('03.Muestra'!$F$8:$F$42)-MIN(ROW('03.Muestra'!$D$8:$D$42))+1,""),ROW()-1234)),"")</f>
        <v>https://elecciones.comunidad.madrid/es/informacion-util/simulacion-metodo-dhondt</v>
      </c>
      <c r="D1247" s="99" t="s">
        <v>184</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Ley D'Hondt</v>
      </c>
      <c r="C1248" s="85" t="str" cm="1">
        <f t="array" ref="C1248">IFERROR(INDEX('03.Muestra'!$F$8:$F$42,SMALL(IF("Página Web"='03.Muestra'!$D$8:$D$42,ROW('03.Muestra'!$F$8:$F$42)-MIN(ROW('03.Muestra'!$D$8:$D$42))+1,""),ROW()-1234)),"")</f>
        <v>https://elecciones.comunidad.madrid/es/resultados/ley_d_hondt</v>
      </c>
      <c r="D1248" s="99" t="s">
        <v>184</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Voto por correo elector CERA en España</v>
      </c>
      <c r="C1249" s="85" t="str" cm="1">
        <f t="array" ref="C1249">IFERROR(INDEX('03.Muestra'!$F$8:$F$42,SMALL(IF("Página Web"='03.Muestra'!$D$8:$D$42,ROW('03.Muestra'!$F$8:$F$42)-MIN(ROW('03.Muestra'!$D$8:$D$42))+1,""),ROW()-1234)),"")</f>
        <v>https://elecciones.comunidad.madrid/es/preguntas-frecuentes/voto-correo-electores-residentes-extranjero</v>
      </c>
      <c r="D1249" s="99" t="s">
        <v>184</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Contacto</v>
      </c>
      <c r="C1250" s="85" t="str" cm="1">
        <f t="array" ref="C1250">IFERROR(INDEX('03.Muestra'!$F$8:$F$42,SMALL(IF("Página Web"='03.Muestra'!$D$8:$D$42,ROW('03.Muestra'!$F$8:$F$42)-MIN(ROW('03.Muestra'!$D$8:$D$42))+1,""),ROW()-1234)),"")</f>
        <v>https://elecciones.comunidad.madrid/es/buzon-de-sugerencias</v>
      </c>
      <c r="D1250" s="99" t="s">
        <v>184</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Buscador</v>
      </c>
      <c r="C1251" s="85" t="str" cm="1">
        <f t="array" ref="C1251">IFERROR(INDEX('03.Muestra'!$F$8:$F$42,SMALL(IF("Página Web"='03.Muestra'!$D$8:$D$42,ROW('03.Muestra'!$F$8:$F$42)-MIN(ROW('03.Muestra'!$D$8:$D$42))+1,""),ROW()-1234)),"")</f>
        <v>https://elecciones.comunidad.madrid/es/search?search_api_fulltext=partido</v>
      </c>
      <c r="D1251" s="99" t="s">
        <v>184</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Aviso Legal-Privacidad</v>
      </c>
      <c r="C1252" s="85" t="str" cm="1">
        <f t="array" ref="C1252">IFERROR(INDEX('03.Muestra'!$F$8:$F$42,SMALL(IF("Página Web"='03.Muestra'!$D$8:$D$42,ROW('03.Muestra'!$F$8:$F$42)-MIN(ROW('03.Muestra'!$D$8:$D$42))+1,""),ROW()-1234)),"")</f>
        <v>https://elecciones.comunidad.madrid/es/aviso-legal</v>
      </c>
      <c r="D1252" s="99" t="s">
        <v>184</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Mapa Web</v>
      </c>
      <c r="C1253" s="85" t="str" cm="1">
        <f t="array" ref="C1253">IFERROR(INDEX('03.Muestra'!$F$8:$F$42,SMALL(IF("Página Web"='03.Muestra'!$D$8:$D$42,ROW('03.Muestra'!$F$8:$F$42)-MIN(ROW('03.Muestra'!$D$8:$D$42))+1,""),ROW()-1234)),"")</f>
        <v>https://elecciones.comunidad.madrid/es/sitemap</v>
      </c>
      <c r="D1253" s="99" t="s">
        <v>184</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Declaracion Accesibilidad</v>
      </c>
      <c r="C1254" s="85" t="str" cm="1">
        <f t="array" ref="C1254">IFERROR(INDEX('03.Muestra'!$F$8:$F$42,SMALL(IF("Página Web"='03.Muestra'!$D$8:$D$42,ROW('03.Muestra'!$F$8:$F$42)-MIN(ROW('03.Muestra'!$D$8:$D$42))+1,""),ROW()-1234)),"")</f>
        <v>https://elecciones.comunidad.madrid/es/accesibilidad</v>
      </c>
      <c r="D1254" s="99" t="s">
        <v>184</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ref="D1255:D1269" si="65">IF(AND(B1255&lt;&gt;"",C1255&lt;&gt;""),"N/T","")</f>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181</v>
      </c>
      <c r="B1272" s="23" t="s">
        <v>173</v>
      </c>
      <c r="C1272" s="24" t="s">
        <v>257</v>
      </c>
      <c r="D1272" s="25" t="s">
        <v>183</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https://elecciones.comunidad.madrid/es</v>
      </c>
      <c r="D1273" s="99" t="s">
        <v>174</v>
      </c>
      <c r="E1273" s="79" t="str">
        <f t="shared" ref="E1273:E1307" si="66">IF(D1273&lt;&gt;"",IF(AND(B1273&lt;&gt;"",C1273&lt;&gt;""),"","ERR"),"")</f>
        <v/>
      </c>
      <c r="F1273" s="86" t="s">
        <v>185</v>
      </c>
      <c r="G1273" s="87" t="s">
        <v>186</v>
      </c>
      <c r="H1273" s="88" t="s">
        <v>184</v>
      </c>
      <c r="I1273" s="89" t="s">
        <v>176</v>
      </c>
      <c r="J1273" s="90" t="s">
        <v>174</v>
      </c>
      <c r="K1273" s="179" t="s">
        <v>180</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Resultado Elecciones 28M 2023</v>
      </c>
      <c r="C1274" s="85" t="str" cm="1">
        <f t="array" ref="C1274">IFERROR(INDEX('03.Muestra'!$F$8:$F$42,SMALL(IF("Página Web"='03.Muestra'!$D$8:$D$42,ROW('03.Muestra'!$F$8:$F$42)-MIN(ROW('03.Muestra'!$D$8:$D$42))+1,""),ROW()-1272)),"")</f>
        <v>https://elecciones.comunidad.madrid/es/resultados-elecciones-asamblea-madrid-28m-2023</v>
      </c>
      <c r="D1274" s="99" t="s">
        <v>174</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Normativa electoral</v>
      </c>
      <c r="C1275" s="85" t="str" cm="1">
        <f t="array" ref="C1275">IFERROR(INDEX('03.Muestra'!$F$8:$F$42,SMALL(IF("Página Web"='03.Muestra'!$D$8:$D$42,ROW('03.Muestra'!$F$8:$F$42)-MIN(ROW('03.Muestra'!$D$8:$D$42))+1,""),ROW()-1272)),"")</f>
        <v>https://elecciones.comunidad.madrid/es/informacion-electoral/normativa-electoral</v>
      </c>
      <c r="D1275" s="99" t="s">
        <v>174</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Calendario electoral</v>
      </c>
      <c r="C1276" s="85" t="str" cm="1">
        <f t="array" ref="C1276">IFERROR(INDEX('03.Muestra'!$F$8:$F$42,SMALL(IF("Página Web"='03.Muestra'!$D$8:$D$42,ROW('03.Muestra'!$F$8:$F$42)-MIN(ROW('03.Muestra'!$D$8:$D$42))+1,""),ROW()-1272)),"")</f>
        <v>https://elecciones.comunidad.madrid/es/informacion-electoral/calendario-electoral</v>
      </c>
      <c r="D1276" s="99" t="s">
        <v>174</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Direcciones y teléfonos</v>
      </c>
      <c r="C1277" s="85" t="str" cm="1">
        <f t="array" ref="C1277">IFERROR(INDEX('03.Muestra'!$F$8:$F$42,SMALL(IF("Página Web"='03.Muestra'!$D$8:$D$42,ROW('03.Muestra'!$F$8:$F$42)-MIN(ROW('03.Muestra'!$D$8:$D$42))+1,""),ROW()-1272)),"")</f>
        <v>https://elecciones.comunidad.madrid/es/juntas-electorales/direcciones-telefonos</v>
      </c>
      <c r="D1277" s="99" t="s">
        <v>174</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Impresos electrónicos</v>
      </c>
      <c r="C1278" s="85" t="str" cm="1">
        <f t="array" ref="C1278">IFERROR(INDEX('03.Muestra'!$F$8:$F$42,SMALL(IF("Página Web"='03.Muestra'!$D$8:$D$42,ROW('03.Muestra'!$F$8:$F$42)-MIN(ROW('03.Muestra'!$D$8:$D$42))+1,""),ROW()-1272)),"")</f>
        <v>https://elecciones.comunidad.madrid/es/formaciones-politicas/impresos-electronicos</v>
      </c>
      <c r="D1278" s="99" t="s">
        <v>174</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Listado de candidaturas</v>
      </c>
      <c r="C1279" s="85" t="str" cm="1">
        <f t="array" ref="C1279">IFERROR(INDEX('03.Muestra'!$F$8:$F$42,SMALL(IF("Página Web"='03.Muestra'!$D$8:$D$42,ROW('03.Muestra'!$F$8:$F$42)-MIN(ROW('03.Muestra'!$D$8:$D$42))+1,""),ROW()-1272)),"")</f>
        <v>https://elecciones.comunidad.madrid/es/formaciones-politicas/listado-candidaturas-proclamadas</v>
      </c>
      <c r="D1279" s="99" t="s">
        <v>174</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Partido Feminista de España</v>
      </c>
      <c r="C1280" s="85" t="str" cm="1">
        <f t="array" ref="C1280">IFERROR(INDEX('03.Muestra'!$F$8:$F$42,SMALL(IF("Página Web"='03.Muestra'!$D$8:$D$42,ROW('03.Muestra'!$F$8:$F$42)-MIN(ROW('03.Muestra'!$D$8:$D$42))+1,""),ROW()-1272)),"")</f>
        <v>https://elecciones.comunidad.madrid/es/formaciones-politicas/listado-candidaturas/partido-feminista-espana</v>
      </c>
      <c r="D1280" s="99" t="s">
        <v>174</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¿Dónde voto?</v>
      </c>
      <c r="C1281" s="85" t="str" cm="1">
        <f t="array" ref="C1281">IFERROR(INDEX('03.Muestra'!$F$8:$F$42,SMALL(IF("Página Web"='03.Muestra'!$D$8:$D$42,ROW('03.Muestra'!$F$8:$F$42)-MIN(ROW('03.Muestra'!$D$8:$D$42))+1,""),ROW()-1272)),"")</f>
        <v>https://elecciones.comunidad.madrid/es/votar/donde-voto</v>
      </c>
      <c r="D1281" s="99" t="s">
        <v>174</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Voto presencial</v>
      </c>
      <c r="C1282" s="85" t="str" cm="1">
        <f t="array" ref="C1282">IFERROR(INDEX('03.Muestra'!$F$8:$F$42,SMALL(IF("Página Web"='03.Muestra'!$D$8:$D$42,ROW('03.Muestra'!$F$8:$F$42)-MIN(ROW('03.Muestra'!$D$8:$D$42))+1,""),ROW()-1272)),"")</f>
        <v>https://elecciones.comunidad.madrid/es/voto-local-electoral/voto-presencial</v>
      </c>
      <c r="D1282" s="99" t="s">
        <v>174</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Ciudadanos temporalmente en el extranjero</v>
      </c>
      <c r="C1283" s="85" t="str" cm="1">
        <f t="array" ref="C1283">IFERROR(INDEX('03.Muestra'!$F$8:$F$42,SMALL(IF("Página Web"='03.Muestra'!$D$8:$D$42,ROW('03.Muestra'!$F$8:$F$42)-MIN(ROW('03.Muestra'!$D$8:$D$42))+1,""),ROW()-1272)),"")</f>
        <v>https://elecciones.comunidad.madrid/es/voto-correo/solicitud-voto-temporalmente-ausentes</v>
      </c>
      <c r="D1283" s="99" t="s">
        <v>174</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Nuevo votante</v>
      </c>
      <c r="C1284" s="85" t="str" cm="1">
        <f t="array" ref="C1284">IFERROR(INDEX('03.Muestra'!$F$8:$F$42,SMALL(IF("Página Web"='03.Muestra'!$D$8:$D$42,ROW('03.Muestra'!$F$8:$F$42)-MIN(ROW('03.Muestra'!$D$8:$D$42))+1,""),ROW()-1272)),"")</f>
        <v>https://elecciones.comunidad.madrid/es/votar/nuevo-votante</v>
      </c>
      <c r="D1284" s="99" t="s">
        <v>174</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Simulación método D'Hondt</v>
      </c>
      <c r="C1285" s="85" t="str" cm="1">
        <f t="array" ref="C1285">IFERROR(INDEX('03.Muestra'!$F$8:$F$42,SMALL(IF("Página Web"='03.Muestra'!$D$8:$D$42,ROW('03.Muestra'!$F$8:$F$42)-MIN(ROW('03.Muestra'!$D$8:$D$42))+1,""),ROW()-1272)),"")</f>
        <v>https://elecciones.comunidad.madrid/es/informacion-util/simulacion-metodo-dhondt</v>
      </c>
      <c r="D1285" s="99" t="s">
        <v>174</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Ley D'Hondt</v>
      </c>
      <c r="C1286" s="85" t="str" cm="1">
        <f t="array" ref="C1286">IFERROR(INDEX('03.Muestra'!$F$8:$F$42,SMALL(IF("Página Web"='03.Muestra'!$D$8:$D$42,ROW('03.Muestra'!$F$8:$F$42)-MIN(ROW('03.Muestra'!$D$8:$D$42))+1,""),ROW()-1272)),"")</f>
        <v>https://elecciones.comunidad.madrid/es/resultados/ley_d_hondt</v>
      </c>
      <c r="D1286" s="99" t="s">
        <v>174</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Voto por correo elector CERA en España</v>
      </c>
      <c r="C1287" s="85" t="str" cm="1">
        <f t="array" ref="C1287">IFERROR(INDEX('03.Muestra'!$F$8:$F$42,SMALL(IF("Página Web"='03.Muestra'!$D$8:$D$42,ROW('03.Muestra'!$F$8:$F$42)-MIN(ROW('03.Muestra'!$D$8:$D$42))+1,""),ROW()-1272)),"")</f>
        <v>https://elecciones.comunidad.madrid/es/preguntas-frecuentes/voto-correo-electores-residentes-extranjero</v>
      </c>
      <c r="D1287" s="99" t="s">
        <v>174</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Contacto</v>
      </c>
      <c r="C1288" s="85" t="str" cm="1">
        <f t="array" ref="C1288">IFERROR(INDEX('03.Muestra'!$F$8:$F$42,SMALL(IF("Página Web"='03.Muestra'!$D$8:$D$42,ROW('03.Muestra'!$F$8:$F$42)-MIN(ROW('03.Muestra'!$D$8:$D$42))+1,""),ROW()-1272)),"")</f>
        <v>https://elecciones.comunidad.madrid/es/buzon-de-sugerencias</v>
      </c>
      <c r="D1288" s="99" t="s">
        <v>174</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Buscador</v>
      </c>
      <c r="C1289" s="85" t="str" cm="1">
        <f t="array" ref="C1289">IFERROR(INDEX('03.Muestra'!$F$8:$F$42,SMALL(IF("Página Web"='03.Muestra'!$D$8:$D$42,ROW('03.Muestra'!$F$8:$F$42)-MIN(ROW('03.Muestra'!$D$8:$D$42))+1,""),ROW()-1272)),"")</f>
        <v>https://elecciones.comunidad.madrid/es/search?search_api_fulltext=partido</v>
      </c>
      <c r="D1289" s="99" t="s">
        <v>174</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Aviso Legal-Privacidad</v>
      </c>
      <c r="C1290" s="85" t="str" cm="1">
        <f t="array" ref="C1290">IFERROR(INDEX('03.Muestra'!$F$8:$F$42,SMALL(IF("Página Web"='03.Muestra'!$D$8:$D$42,ROW('03.Muestra'!$F$8:$F$42)-MIN(ROW('03.Muestra'!$D$8:$D$42))+1,""),ROW()-1272)),"")</f>
        <v>https://elecciones.comunidad.madrid/es/aviso-legal</v>
      </c>
      <c r="D1290" s="99" t="s">
        <v>174</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Mapa Web</v>
      </c>
      <c r="C1291" s="85" t="str" cm="1">
        <f t="array" ref="C1291">IFERROR(INDEX('03.Muestra'!$F$8:$F$42,SMALL(IF("Página Web"='03.Muestra'!$D$8:$D$42,ROW('03.Muestra'!$F$8:$F$42)-MIN(ROW('03.Muestra'!$D$8:$D$42))+1,""),ROW()-1272)),"")</f>
        <v>https://elecciones.comunidad.madrid/es/sitemap</v>
      </c>
      <c r="D1291" s="99" t="s">
        <v>174</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Declaracion Accesibilidad</v>
      </c>
      <c r="C1292" s="85" t="str" cm="1">
        <f t="array" ref="C1292">IFERROR(INDEX('03.Muestra'!$F$8:$F$42,SMALL(IF("Página Web"='03.Muestra'!$D$8:$D$42,ROW('03.Muestra'!$F$8:$F$42)-MIN(ROW('03.Muestra'!$D$8:$D$42))+1,""),ROW()-1272)),"")</f>
        <v>https://elecciones.comunidad.madrid/es/accesibilidad</v>
      </c>
      <c r="D1292" s="99" t="s">
        <v>174</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ref="D1293:D1307" si="67">IF(AND(B1293&lt;&gt;"",C1293&lt;&gt;""),"N/T","")</f>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181</v>
      </c>
      <c r="B1310" s="23" t="s">
        <v>173</v>
      </c>
      <c r="C1310" s="24" t="s">
        <v>258</v>
      </c>
      <c r="D1310" s="25" t="s">
        <v>183</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https://elecciones.comunidad.madrid/es</v>
      </c>
      <c r="D1311" s="99" t="s">
        <v>176</v>
      </c>
      <c r="E1311" s="79" t="str">
        <f t="shared" ref="E1311:E1345" si="68">IF(D1311&lt;&gt;"",IF(AND(B1311&lt;&gt;"",C1311&lt;&gt;""),"","ERR"),"")</f>
        <v/>
      </c>
      <c r="F1311" s="86" t="s">
        <v>185</v>
      </c>
      <c r="G1311" s="87" t="s">
        <v>186</v>
      </c>
      <c r="H1311" s="88" t="s">
        <v>184</v>
      </c>
      <c r="I1311" s="89" t="s">
        <v>176</v>
      </c>
      <c r="J1311" s="90" t="s">
        <v>174</v>
      </c>
      <c r="K1311" s="179" t="s">
        <v>180</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Resultado Elecciones 28M 2023</v>
      </c>
      <c r="C1312" s="85" t="str" cm="1">
        <f t="array" ref="C1312">IFERROR(INDEX('03.Muestra'!$F$8:$F$42,SMALL(IF("Página Web"='03.Muestra'!$D$8:$D$42,ROW('03.Muestra'!$F$8:$F$42)-MIN(ROW('03.Muestra'!$D$8:$D$42))+1,""),ROW()-1310)),"")</f>
        <v>https://elecciones.comunidad.madrid/es/resultados-elecciones-asamblea-madrid-28m-2023</v>
      </c>
      <c r="D1312" s="99" t="s">
        <v>176</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20</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Normativa electoral</v>
      </c>
      <c r="C1313" s="85" t="str" cm="1">
        <f t="array" ref="C1313">IFERROR(INDEX('03.Muestra'!$F$8:$F$42,SMALL(IF("Página Web"='03.Muestra'!$D$8:$D$42,ROW('03.Muestra'!$F$8:$F$42)-MIN(ROW('03.Muestra'!$D$8:$D$42))+1,""),ROW()-1310)),"")</f>
        <v>https://elecciones.comunidad.madrid/es/informacion-electoral/normativa-electoral</v>
      </c>
      <c r="D1313" s="99" t="s">
        <v>176</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Calendario electoral</v>
      </c>
      <c r="C1314" s="85" t="str" cm="1">
        <f t="array" ref="C1314">IFERROR(INDEX('03.Muestra'!$F$8:$F$42,SMALL(IF("Página Web"='03.Muestra'!$D$8:$D$42,ROW('03.Muestra'!$F$8:$F$42)-MIN(ROW('03.Muestra'!$D$8:$D$42))+1,""),ROW()-1310)),"")</f>
        <v>https://elecciones.comunidad.madrid/es/informacion-electoral/calendario-electoral</v>
      </c>
      <c r="D1314" s="99" t="s">
        <v>176</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Direcciones y teléfonos</v>
      </c>
      <c r="C1315" s="85" t="str" cm="1">
        <f t="array" ref="C1315">IFERROR(INDEX('03.Muestra'!$F$8:$F$42,SMALL(IF("Página Web"='03.Muestra'!$D$8:$D$42,ROW('03.Muestra'!$F$8:$F$42)-MIN(ROW('03.Muestra'!$D$8:$D$42))+1,""),ROW()-1310)),"")</f>
        <v>https://elecciones.comunidad.madrid/es/juntas-electorales/direcciones-telefonos</v>
      </c>
      <c r="D1315" s="99" t="s">
        <v>176</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Impresos electrónicos</v>
      </c>
      <c r="C1316" s="85" t="str" cm="1">
        <f t="array" ref="C1316">IFERROR(INDEX('03.Muestra'!$F$8:$F$42,SMALL(IF("Página Web"='03.Muestra'!$D$8:$D$42,ROW('03.Muestra'!$F$8:$F$42)-MIN(ROW('03.Muestra'!$D$8:$D$42))+1,""),ROW()-1310)),"")</f>
        <v>https://elecciones.comunidad.madrid/es/formaciones-politicas/impresos-electronicos</v>
      </c>
      <c r="D1316" s="99" t="s">
        <v>176</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Listado de candidaturas</v>
      </c>
      <c r="C1317" s="85" t="str" cm="1">
        <f t="array" ref="C1317">IFERROR(INDEX('03.Muestra'!$F$8:$F$42,SMALL(IF("Página Web"='03.Muestra'!$D$8:$D$42,ROW('03.Muestra'!$F$8:$F$42)-MIN(ROW('03.Muestra'!$D$8:$D$42))+1,""),ROW()-1310)),"")</f>
        <v>https://elecciones.comunidad.madrid/es/formaciones-politicas/listado-candidaturas-proclamadas</v>
      </c>
      <c r="D1317" s="99" t="s">
        <v>176</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Partido Feminista de España</v>
      </c>
      <c r="C1318" s="85" t="str" cm="1">
        <f t="array" ref="C1318">IFERROR(INDEX('03.Muestra'!$F$8:$F$42,SMALL(IF("Página Web"='03.Muestra'!$D$8:$D$42,ROW('03.Muestra'!$F$8:$F$42)-MIN(ROW('03.Muestra'!$D$8:$D$42))+1,""),ROW()-1310)),"")</f>
        <v>https://elecciones.comunidad.madrid/es/formaciones-politicas/listado-candidaturas/partido-feminista-espana</v>
      </c>
      <c r="D1318" s="99" t="s">
        <v>176</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¿Dónde voto?</v>
      </c>
      <c r="C1319" s="85" t="str" cm="1">
        <f t="array" ref="C1319">IFERROR(INDEX('03.Muestra'!$F$8:$F$42,SMALL(IF("Página Web"='03.Muestra'!$D$8:$D$42,ROW('03.Muestra'!$F$8:$F$42)-MIN(ROW('03.Muestra'!$D$8:$D$42))+1,""),ROW()-1310)),"")</f>
        <v>https://elecciones.comunidad.madrid/es/votar/donde-voto</v>
      </c>
      <c r="D1319" s="99" t="s">
        <v>176</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Voto presencial</v>
      </c>
      <c r="C1320" s="85" t="str" cm="1">
        <f t="array" ref="C1320">IFERROR(INDEX('03.Muestra'!$F$8:$F$42,SMALL(IF("Página Web"='03.Muestra'!$D$8:$D$42,ROW('03.Muestra'!$F$8:$F$42)-MIN(ROW('03.Muestra'!$D$8:$D$42))+1,""),ROW()-1310)),"")</f>
        <v>https://elecciones.comunidad.madrid/es/voto-local-electoral/voto-presencial</v>
      </c>
      <c r="D1320" s="99" t="s">
        <v>176</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Ciudadanos temporalmente en el extranjero</v>
      </c>
      <c r="C1321" s="85" t="str" cm="1">
        <f t="array" ref="C1321">IFERROR(INDEX('03.Muestra'!$F$8:$F$42,SMALL(IF("Página Web"='03.Muestra'!$D$8:$D$42,ROW('03.Muestra'!$F$8:$F$42)-MIN(ROW('03.Muestra'!$D$8:$D$42))+1,""),ROW()-1310)),"")</f>
        <v>https://elecciones.comunidad.madrid/es/voto-correo/solicitud-voto-temporalmente-ausentes</v>
      </c>
      <c r="D1321" s="99" t="s">
        <v>176</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Nuevo votante</v>
      </c>
      <c r="C1322" s="85" t="str" cm="1">
        <f t="array" ref="C1322">IFERROR(INDEX('03.Muestra'!$F$8:$F$42,SMALL(IF("Página Web"='03.Muestra'!$D$8:$D$42,ROW('03.Muestra'!$F$8:$F$42)-MIN(ROW('03.Muestra'!$D$8:$D$42))+1,""),ROW()-1310)),"")</f>
        <v>https://elecciones.comunidad.madrid/es/votar/nuevo-votante</v>
      </c>
      <c r="D1322" s="99" t="s">
        <v>176</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Simulación método D'Hondt</v>
      </c>
      <c r="C1323" s="85" t="str" cm="1">
        <f t="array" ref="C1323">IFERROR(INDEX('03.Muestra'!$F$8:$F$42,SMALL(IF("Página Web"='03.Muestra'!$D$8:$D$42,ROW('03.Muestra'!$F$8:$F$42)-MIN(ROW('03.Muestra'!$D$8:$D$42))+1,""),ROW()-1310)),"")</f>
        <v>https://elecciones.comunidad.madrid/es/informacion-util/simulacion-metodo-dhondt</v>
      </c>
      <c r="D1323" s="99" t="s">
        <v>176</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Ley D'Hondt</v>
      </c>
      <c r="C1324" s="85" t="str" cm="1">
        <f t="array" ref="C1324">IFERROR(INDEX('03.Muestra'!$F$8:$F$42,SMALL(IF("Página Web"='03.Muestra'!$D$8:$D$42,ROW('03.Muestra'!$F$8:$F$42)-MIN(ROW('03.Muestra'!$D$8:$D$42))+1,""),ROW()-1310)),"")</f>
        <v>https://elecciones.comunidad.madrid/es/resultados/ley_d_hondt</v>
      </c>
      <c r="D1324" s="99" t="s">
        <v>176</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Voto por correo elector CERA en España</v>
      </c>
      <c r="C1325" s="85" t="str" cm="1">
        <f t="array" ref="C1325">IFERROR(INDEX('03.Muestra'!$F$8:$F$42,SMALL(IF("Página Web"='03.Muestra'!$D$8:$D$42,ROW('03.Muestra'!$F$8:$F$42)-MIN(ROW('03.Muestra'!$D$8:$D$42))+1,""),ROW()-1310)),"")</f>
        <v>https://elecciones.comunidad.madrid/es/preguntas-frecuentes/voto-correo-electores-residentes-extranjero</v>
      </c>
      <c r="D1325" s="99" t="s">
        <v>176</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Contacto</v>
      </c>
      <c r="C1326" s="85" t="str" cm="1">
        <f t="array" ref="C1326">IFERROR(INDEX('03.Muestra'!$F$8:$F$42,SMALL(IF("Página Web"='03.Muestra'!$D$8:$D$42,ROW('03.Muestra'!$F$8:$F$42)-MIN(ROW('03.Muestra'!$D$8:$D$42))+1,""),ROW()-1310)),"")</f>
        <v>https://elecciones.comunidad.madrid/es/buzon-de-sugerencias</v>
      </c>
      <c r="D1326" s="99" t="s">
        <v>176</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Buscador</v>
      </c>
      <c r="C1327" s="85" t="str" cm="1">
        <f t="array" ref="C1327">IFERROR(INDEX('03.Muestra'!$F$8:$F$42,SMALL(IF("Página Web"='03.Muestra'!$D$8:$D$42,ROW('03.Muestra'!$F$8:$F$42)-MIN(ROW('03.Muestra'!$D$8:$D$42))+1,""),ROW()-1310)),"")</f>
        <v>https://elecciones.comunidad.madrid/es/search?search_api_fulltext=partido</v>
      </c>
      <c r="D1327" s="99" t="s">
        <v>176</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Aviso Legal-Privacidad</v>
      </c>
      <c r="C1328" s="85" t="str" cm="1">
        <f t="array" ref="C1328">IFERROR(INDEX('03.Muestra'!$F$8:$F$42,SMALL(IF("Página Web"='03.Muestra'!$D$8:$D$42,ROW('03.Muestra'!$F$8:$F$42)-MIN(ROW('03.Muestra'!$D$8:$D$42))+1,""),ROW()-1310)),"")</f>
        <v>https://elecciones.comunidad.madrid/es/aviso-legal</v>
      </c>
      <c r="D1328" s="99" t="s">
        <v>176</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Mapa Web</v>
      </c>
      <c r="C1329" s="85" t="str" cm="1">
        <f t="array" ref="C1329">IFERROR(INDEX('03.Muestra'!$F$8:$F$42,SMALL(IF("Página Web"='03.Muestra'!$D$8:$D$42,ROW('03.Muestra'!$F$8:$F$42)-MIN(ROW('03.Muestra'!$D$8:$D$42))+1,""),ROW()-1310)),"")</f>
        <v>https://elecciones.comunidad.madrid/es/sitemap</v>
      </c>
      <c r="D1329" s="99" t="s">
        <v>176</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Declaracion Accesibilidad</v>
      </c>
      <c r="C1330" s="85" t="str" cm="1">
        <f t="array" ref="C1330">IFERROR(INDEX('03.Muestra'!$F$8:$F$42,SMALL(IF("Página Web"='03.Muestra'!$D$8:$D$42,ROW('03.Muestra'!$F$8:$F$42)-MIN(ROW('03.Muestra'!$D$8:$D$42))+1,""),ROW()-1310)),"")</f>
        <v>https://elecciones.comunidad.madrid/es/accesibilidad</v>
      </c>
      <c r="D1330" s="99" t="s">
        <v>176</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ref="D1331:D1345" si="69">IF(AND(B1331&lt;&gt;"",C1331&lt;&gt;""),"N/T","")</f>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181</v>
      </c>
      <c r="B1348" s="23" t="s">
        <v>173</v>
      </c>
      <c r="C1348" s="24" t="s">
        <v>259</v>
      </c>
      <c r="D1348" s="25" t="s">
        <v>183</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https://elecciones.comunidad.madrid/es</v>
      </c>
      <c r="D1349" s="99" t="s">
        <v>184</v>
      </c>
      <c r="E1349" s="79" t="str">
        <f t="shared" ref="E1349:E1383" si="70">IF(D1349&lt;&gt;"",IF(AND(B1349&lt;&gt;"",C1349&lt;&gt;""),"","ERR"),"")</f>
        <v/>
      </c>
      <c r="F1349" s="86" t="s">
        <v>185</v>
      </c>
      <c r="G1349" s="87" t="s">
        <v>186</v>
      </c>
      <c r="H1349" s="88" t="s">
        <v>184</v>
      </c>
      <c r="I1349" s="89" t="s">
        <v>176</v>
      </c>
      <c r="J1349" s="90" t="s">
        <v>174</v>
      </c>
      <c r="K1349" s="179" t="s">
        <v>180</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Resultado Elecciones 28M 2023</v>
      </c>
      <c r="C1350" s="85" t="str" cm="1">
        <f t="array" ref="C1350">IFERROR(INDEX('03.Muestra'!$F$8:$F$42,SMALL(IF("Página Web"='03.Muestra'!$D$8:$D$42,ROW('03.Muestra'!$F$8:$F$42)-MIN(ROW('03.Muestra'!$D$8:$D$42))+1,""),ROW()-1348)),"")</f>
        <v>https://elecciones.comunidad.madrid/es/resultados-elecciones-asamblea-madrid-28m-2023</v>
      </c>
      <c r="D1350" s="99" t="s">
        <v>184</v>
      </c>
      <c r="E1350" s="79" t="str">
        <f t="shared" si="70"/>
        <v/>
      </c>
      <c r="F1350" s="91">
        <f ca="1">COUNTIF($D1349:INDIRECT("$D" &amp;  SUM(ROW()-1,'03.Muestra'!$D$45)-1),F1349)</f>
        <v>0</v>
      </c>
      <c r="G1350" s="91">
        <f ca="1">COUNTIF($D1349:INDIRECT("$D" &amp;  SUM(ROW()-1,'03.Muestra'!$D$45)-1),G1349)</f>
        <v>0</v>
      </c>
      <c r="H1350" s="91">
        <f ca="1">COUNTIF($D1349:INDIRECT("$D" &amp;  SUM(ROW()-1,'03.Muestra'!$D$45)-1),H1349)</f>
        <v>20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Normativa electoral</v>
      </c>
      <c r="C1351" s="85" t="str" cm="1">
        <f t="array" ref="C1351">IFERROR(INDEX('03.Muestra'!$F$8:$F$42,SMALL(IF("Página Web"='03.Muestra'!$D$8:$D$42,ROW('03.Muestra'!$F$8:$F$42)-MIN(ROW('03.Muestra'!$D$8:$D$42))+1,""),ROW()-1348)),"")</f>
        <v>https://elecciones.comunidad.madrid/es/informacion-electoral/normativa-electoral</v>
      </c>
      <c r="D1351" s="99" t="s">
        <v>184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Calendario electoral</v>
      </c>
      <c r="C1352" s="85" t="str" cm="1">
        <f t="array" ref="C1352">IFERROR(INDEX('03.Muestra'!$F$8:$F$42,SMALL(IF("Página Web"='03.Muestra'!$D$8:$D$42,ROW('03.Muestra'!$F$8:$F$42)-MIN(ROW('03.Muestra'!$D$8:$D$42))+1,""),ROW()-1348)),"")</f>
        <v>https://elecciones.comunidad.madrid/es/informacion-electoral/calendario-electoral</v>
      </c>
      <c r="D1352" s="99" t="s">
        <v>184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Direcciones y teléfonos</v>
      </c>
      <c r="C1353" s="85" t="str" cm="1">
        <f t="array" ref="C1353">IFERROR(INDEX('03.Muestra'!$F$8:$F$42,SMALL(IF("Página Web"='03.Muestra'!$D$8:$D$42,ROW('03.Muestra'!$F$8:$F$42)-MIN(ROW('03.Muestra'!$D$8:$D$42))+1,""),ROW()-1348)),"")</f>
        <v>https://elecciones.comunidad.madrid/es/juntas-electorales/direcciones-telefonos</v>
      </c>
      <c r="D1353" s="99" t="s">
        <v>184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Impresos electrónicos</v>
      </c>
      <c r="C1354" s="85" t="str" cm="1">
        <f t="array" ref="C1354">IFERROR(INDEX('03.Muestra'!$F$8:$F$42,SMALL(IF("Página Web"='03.Muestra'!$D$8:$D$42,ROW('03.Muestra'!$F$8:$F$42)-MIN(ROW('03.Muestra'!$D$8:$D$42))+1,""),ROW()-1348)),"")</f>
        <v>https://elecciones.comunidad.madrid/es/formaciones-politicas/impresos-electronicos</v>
      </c>
      <c r="D1354" s="99" t="s">
        <v>184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Listado de candidaturas</v>
      </c>
      <c r="C1355" s="85" t="str" cm="1">
        <f t="array" ref="C1355">IFERROR(INDEX('03.Muestra'!$F$8:$F$42,SMALL(IF("Página Web"='03.Muestra'!$D$8:$D$42,ROW('03.Muestra'!$F$8:$F$42)-MIN(ROW('03.Muestra'!$D$8:$D$42))+1,""),ROW()-1348)),"")</f>
        <v>https://elecciones.comunidad.madrid/es/formaciones-politicas/listado-candidaturas-proclamadas</v>
      </c>
      <c r="D1355" s="99" t="s">
        <v>184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Partido Feminista de España</v>
      </c>
      <c r="C1356" s="85" t="str" cm="1">
        <f t="array" ref="C1356">IFERROR(INDEX('03.Muestra'!$F$8:$F$42,SMALL(IF("Página Web"='03.Muestra'!$D$8:$D$42,ROW('03.Muestra'!$F$8:$F$42)-MIN(ROW('03.Muestra'!$D$8:$D$42))+1,""),ROW()-1348)),"")</f>
        <v>https://elecciones.comunidad.madrid/es/formaciones-politicas/listado-candidaturas/partido-feminista-espana</v>
      </c>
      <c r="D1356" s="99" t="s">
        <v>184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¿Dónde voto?</v>
      </c>
      <c r="C1357" s="85" t="str" cm="1">
        <f t="array" ref="C1357">IFERROR(INDEX('03.Muestra'!$F$8:$F$42,SMALL(IF("Página Web"='03.Muestra'!$D$8:$D$42,ROW('03.Muestra'!$F$8:$F$42)-MIN(ROW('03.Muestra'!$D$8:$D$42))+1,""),ROW()-1348)),"")</f>
        <v>https://elecciones.comunidad.madrid/es/votar/donde-voto</v>
      </c>
      <c r="D1357" s="99" t="s">
        <v>184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Voto presencial</v>
      </c>
      <c r="C1358" s="85" t="str" cm="1">
        <f t="array" ref="C1358">IFERROR(INDEX('03.Muestra'!$F$8:$F$42,SMALL(IF("Página Web"='03.Muestra'!$D$8:$D$42,ROW('03.Muestra'!$F$8:$F$42)-MIN(ROW('03.Muestra'!$D$8:$D$42))+1,""),ROW()-1348)),"")</f>
        <v>https://elecciones.comunidad.madrid/es/voto-local-electoral/voto-presencial</v>
      </c>
      <c r="D1358" s="99" t="s">
        <v>184</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Ciudadanos temporalmente en el extranjero</v>
      </c>
      <c r="C1359" s="85" t="str" cm="1">
        <f t="array" ref="C1359">IFERROR(INDEX('03.Muestra'!$F$8:$F$42,SMALL(IF("Página Web"='03.Muestra'!$D$8:$D$42,ROW('03.Muestra'!$F$8:$F$42)-MIN(ROW('03.Muestra'!$D$8:$D$42))+1,""),ROW()-1348)),"")</f>
        <v>https://elecciones.comunidad.madrid/es/voto-correo/solicitud-voto-temporalmente-ausentes</v>
      </c>
      <c r="D1359" s="99" t="s">
        <v>184</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Nuevo votante</v>
      </c>
      <c r="C1360" s="85" t="str" cm="1">
        <f t="array" ref="C1360">IFERROR(INDEX('03.Muestra'!$F$8:$F$42,SMALL(IF("Página Web"='03.Muestra'!$D$8:$D$42,ROW('03.Muestra'!$F$8:$F$42)-MIN(ROW('03.Muestra'!$D$8:$D$42))+1,""),ROW()-1348)),"")</f>
        <v>https://elecciones.comunidad.madrid/es/votar/nuevo-votante</v>
      </c>
      <c r="D1360" s="99" t="s">
        <v>184</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Simulación método D'Hondt</v>
      </c>
      <c r="C1361" s="85" t="str" cm="1">
        <f t="array" ref="C1361">IFERROR(INDEX('03.Muestra'!$F$8:$F$42,SMALL(IF("Página Web"='03.Muestra'!$D$8:$D$42,ROW('03.Muestra'!$F$8:$F$42)-MIN(ROW('03.Muestra'!$D$8:$D$42))+1,""),ROW()-1348)),"")</f>
        <v>https://elecciones.comunidad.madrid/es/informacion-util/simulacion-metodo-dhondt</v>
      </c>
      <c r="D1361" s="99" t="s">
        <v>184</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Ley D'Hondt</v>
      </c>
      <c r="C1362" s="85" t="str" cm="1">
        <f t="array" ref="C1362">IFERROR(INDEX('03.Muestra'!$F$8:$F$42,SMALL(IF("Página Web"='03.Muestra'!$D$8:$D$42,ROW('03.Muestra'!$F$8:$F$42)-MIN(ROW('03.Muestra'!$D$8:$D$42))+1,""),ROW()-1348)),"")</f>
        <v>https://elecciones.comunidad.madrid/es/resultados/ley_d_hondt</v>
      </c>
      <c r="D1362" s="99" t="s">
        <v>184</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Voto por correo elector CERA en España</v>
      </c>
      <c r="C1363" s="85" t="str" cm="1">
        <f t="array" ref="C1363">IFERROR(INDEX('03.Muestra'!$F$8:$F$42,SMALL(IF("Página Web"='03.Muestra'!$D$8:$D$42,ROW('03.Muestra'!$F$8:$F$42)-MIN(ROW('03.Muestra'!$D$8:$D$42))+1,""),ROW()-1348)),"")</f>
        <v>https://elecciones.comunidad.madrid/es/preguntas-frecuentes/voto-correo-electores-residentes-extranjero</v>
      </c>
      <c r="D1363" s="99" t="s">
        <v>184</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Contacto</v>
      </c>
      <c r="C1364" s="85" t="str" cm="1">
        <f t="array" ref="C1364">IFERROR(INDEX('03.Muestra'!$F$8:$F$42,SMALL(IF("Página Web"='03.Muestra'!$D$8:$D$42,ROW('03.Muestra'!$F$8:$F$42)-MIN(ROW('03.Muestra'!$D$8:$D$42))+1,""),ROW()-1348)),"")</f>
        <v>https://elecciones.comunidad.madrid/es/buzon-de-sugerencias</v>
      </c>
      <c r="D1364" s="99" t="s">
        <v>184</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Buscador</v>
      </c>
      <c r="C1365" s="85" t="str" cm="1">
        <f t="array" ref="C1365">IFERROR(INDEX('03.Muestra'!$F$8:$F$42,SMALL(IF("Página Web"='03.Muestra'!$D$8:$D$42,ROW('03.Muestra'!$F$8:$F$42)-MIN(ROW('03.Muestra'!$D$8:$D$42))+1,""),ROW()-1348)),"")</f>
        <v>https://elecciones.comunidad.madrid/es/search?search_api_fulltext=partido</v>
      </c>
      <c r="D1365" s="99" t="s">
        <v>184</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Aviso Legal-Privacidad</v>
      </c>
      <c r="C1366" s="85" t="str" cm="1">
        <f t="array" ref="C1366">IFERROR(INDEX('03.Muestra'!$F$8:$F$42,SMALL(IF("Página Web"='03.Muestra'!$D$8:$D$42,ROW('03.Muestra'!$F$8:$F$42)-MIN(ROW('03.Muestra'!$D$8:$D$42))+1,""),ROW()-1348)),"")</f>
        <v>https://elecciones.comunidad.madrid/es/aviso-legal</v>
      </c>
      <c r="D1366" s="99" t="s">
        <v>184</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Mapa Web</v>
      </c>
      <c r="C1367" s="85" t="str" cm="1">
        <f t="array" ref="C1367">IFERROR(INDEX('03.Muestra'!$F$8:$F$42,SMALL(IF("Página Web"='03.Muestra'!$D$8:$D$42,ROW('03.Muestra'!$F$8:$F$42)-MIN(ROW('03.Muestra'!$D$8:$D$42))+1,""),ROW()-1348)),"")</f>
        <v>https://elecciones.comunidad.madrid/es/sitemap</v>
      </c>
      <c r="D1367" s="99" t="s">
        <v>184</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Declaracion Accesibilidad</v>
      </c>
      <c r="C1368" s="85" t="str" cm="1">
        <f t="array" ref="C1368">IFERROR(INDEX('03.Muestra'!$F$8:$F$42,SMALL(IF("Página Web"='03.Muestra'!$D$8:$D$42,ROW('03.Muestra'!$F$8:$F$42)-MIN(ROW('03.Muestra'!$D$8:$D$42))+1,""),ROW()-1348)),"")</f>
        <v>https://elecciones.comunidad.madrid/es/accesibilidad</v>
      </c>
      <c r="D1368" s="99" t="s">
        <v>184</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69: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181</v>
      </c>
      <c r="B1386" s="23" t="s">
        <v>173</v>
      </c>
      <c r="C1386" s="24" t="s">
        <v>260</v>
      </c>
      <c r="D1386" s="25" t="s">
        <v>183</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https://elecciones.comunidad.madrid/es</v>
      </c>
      <c r="D1387" s="99" t="s">
        <v>174</v>
      </c>
      <c r="E1387" s="79" t="str">
        <f t="shared" ref="E1387:E1421" si="72">IF(D1387&lt;&gt;"",IF(AND(B1387&lt;&gt;"",C1387&lt;&gt;""),"","ERR"),"")</f>
        <v/>
      </c>
      <c r="F1387" s="86" t="s">
        <v>185</v>
      </c>
      <c r="G1387" s="87" t="s">
        <v>186</v>
      </c>
      <c r="H1387" s="88" t="s">
        <v>184</v>
      </c>
      <c r="I1387" s="89" t="s">
        <v>176</v>
      </c>
      <c r="J1387" s="90" t="s">
        <v>174</v>
      </c>
      <c r="K1387" s="179" t="s">
        <v>180</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Resultado Elecciones 28M 2023</v>
      </c>
      <c r="C1388" s="85" t="str" cm="1">
        <f t="array" ref="C1388">IFERROR(INDEX('03.Muestra'!$F$8:$F$42,SMALL(IF("Página Web"='03.Muestra'!$D$8:$D$42,ROW('03.Muestra'!$F$8:$F$42)-MIN(ROW('03.Muestra'!$D$8:$D$42))+1,""),ROW()-1386)),"")</f>
        <v>https://elecciones.comunidad.madrid/es/resultados-elecciones-asamblea-madrid-28m-2023</v>
      </c>
      <c r="D1388" s="99" t="s">
        <v>174</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Normativa electoral</v>
      </c>
      <c r="C1389" s="85" t="str" cm="1">
        <f t="array" ref="C1389">IFERROR(INDEX('03.Muestra'!$F$8:$F$42,SMALL(IF("Página Web"='03.Muestra'!$D$8:$D$42,ROW('03.Muestra'!$F$8:$F$42)-MIN(ROW('03.Muestra'!$D$8:$D$42))+1,""),ROW()-1386)),"")</f>
        <v>https://elecciones.comunidad.madrid/es/informacion-electoral/normativa-electoral</v>
      </c>
      <c r="D1389" s="99" t="s">
        <v>174</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Calendario electoral</v>
      </c>
      <c r="C1390" s="85" t="str" cm="1">
        <f t="array" ref="C1390">IFERROR(INDEX('03.Muestra'!$F$8:$F$42,SMALL(IF("Página Web"='03.Muestra'!$D$8:$D$42,ROW('03.Muestra'!$F$8:$F$42)-MIN(ROW('03.Muestra'!$D$8:$D$42))+1,""),ROW()-1386)),"")</f>
        <v>https://elecciones.comunidad.madrid/es/informacion-electoral/calendario-electoral</v>
      </c>
      <c r="D1390" s="99" t="s">
        <v>174</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Direcciones y teléfonos</v>
      </c>
      <c r="C1391" s="85" t="str" cm="1">
        <f t="array" ref="C1391">IFERROR(INDEX('03.Muestra'!$F$8:$F$42,SMALL(IF("Página Web"='03.Muestra'!$D$8:$D$42,ROW('03.Muestra'!$F$8:$F$42)-MIN(ROW('03.Muestra'!$D$8:$D$42))+1,""),ROW()-1386)),"")</f>
        <v>https://elecciones.comunidad.madrid/es/juntas-electorales/direcciones-telefonos</v>
      </c>
      <c r="D1391" s="99" t="s">
        <v>174</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Impresos electrónicos</v>
      </c>
      <c r="C1392" s="85" t="str" cm="1">
        <f t="array" ref="C1392">IFERROR(INDEX('03.Muestra'!$F$8:$F$42,SMALL(IF("Página Web"='03.Muestra'!$D$8:$D$42,ROW('03.Muestra'!$F$8:$F$42)-MIN(ROW('03.Muestra'!$D$8:$D$42))+1,""),ROW()-1386)),"")</f>
        <v>https://elecciones.comunidad.madrid/es/formaciones-politicas/impresos-electronicos</v>
      </c>
      <c r="D1392" s="99" t="s">
        <v>174</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Listado de candidaturas</v>
      </c>
      <c r="C1393" s="85" t="str" cm="1">
        <f t="array" ref="C1393">IFERROR(INDEX('03.Muestra'!$F$8:$F$42,SMALL(IF("Página Web"='03.Muestra'!$D$8:$D$42,ROW('03.Muestra'!$F$8:$F$42)-MIN(ROW('03.Muestra'!$D$8:$D$42))+1,""),ROW()-1386)),"")</f>
        <v>https://elecciones.comunidad.madrid/es/formaciones-politicas/listado-candidaturas-proclamadas</v>
      </c>
      <c r="D1393" s="99" t="s">
        <v>174</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Partido Feminista de España</v>
      </c>
      <c r="C1394" s="85" t="str" cm="1">
        <f t="array" ref="C1394">IFERROR(INDEX('03.Muestra'!$F$8:$F$42,SMALL(IF("Página Web"='03.Muestra'!$D$8:$D$42,ROW('03.Muestra'!$F$8:$F$42)-MIN(ROW('03.Muestra'!$D$8:$D$42))+1,""),ROW()-1386)),"")</f>
        <v>https://elecciones.comunidad.madrid/es/formaciones-politicas/listado-candidaturas/partido-feminista-espana</v>
      </c>
      <c r="D1394" s="99" t="s">
        <v>174</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¿Dónde voto?</v>
      </c>
      <c r="C1395" s="85" t="str" cm="1">
        <f t="array" ref="C1395">IFERROR(INDEX('03.Muestra'!$F$8:$F$42,SMALL(IF("Página Web"='03.Muestra'!$D$8:$D$42,ROW('03.Muestra'!$F$8:$F$42)-MIN(ROW('03.Muestra'!$D$8:$D$42))+1,""),ROW()-1386)),"")</f>
        <v>https://elecciones.comunidad.madrid/es/votar/donde-voto</v>
      </c>
      <c r="D1395" s="99" t="s">
        <v>174</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Voto presencial</v>
      </c>
      <c r="C1396" s="85" t="str" cm="1">
        <f t="array" ref="C1396">IFERROR(INDEX('03.Muestra'!$F$8:$F$42,SMALL(IF("Página Web"='03.Muestra'!$D$8:$D$42,ROW('03.Muestra'!$F$8:$F$42)-MIN(ROW('03.Muestra'!$D$8:$D$42))+1,""),ROW()-1386)),"")</f>
        <v>https://elecciones.comunidad.madrid/es/voto-local-electoral/voto-presencial</v>
      </c>
      <c r="D1396" s="99" t="s">
        <v>174</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Ciudadanos temporalmente en el extranjero</v>
      </c>
      <c r="C1397" s="85" t="str" cm="1">
        <f t="array" ref="C1397">IFERROR(INDEX('03.Muestra'!$F$8:$F$42,SMALL(IF("Página Web"='03.Muestra'!$D$8:$D$42,ROW('03.Muestra'!$F$8:$F$42)-MIN(ROW('03.Muestra'!$D$8:$D$42))+1,""),ROW()-1386)),"")</f>
        <v>https://elecciones.comunidad.madrid/es/voto-correo/solicitud-voto-temporalmente-ausentes</v>
      </c>
      <c r="D1397" s="99" t="s">
        <v>174</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Nuevo votante</v>
      </c>
      <c r="C1398" s="85" t="str" cm="1">
        <f t="array" ref="C1398">IFERROR(INDEX('03.Muestra'!$F$8:$F$42,SMALL(IF("Página Web"='03.Muestra'!$D$8:$D$42,ROW('03.Muestra'!$F$8:$F$42)-MIN(ROW('03.Muestra'!$D$8:$D$42))+1,""),ROW()-1386)),"")</f>
        <v>https://elecciones.comunidad.madrid/es/votar/nuevo-votante</v>
      </c>
      <c r="D1398" s="99" t="s">
        <v>174</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Simulación método D'Hondt</v>
      </c>
      <c r="C1399" s="85" t="str" cm="1">
        <f t="array" ref="C1399">IFERROR(INDEX('03.Muestra'!$F$8:$F$42,SMALL(IF("Página Web"='03.Muestra'!$D$8:$D$42,ROW('03.Muestra'!$F$8:$F$42)-MIN(ROW('03.Muestra'!$D$8:$D$42))+1,""),ROW()-1386)),"")</f>
        <v>https://elecciones.comunidad.madrid/es/informacion-util/simulacion-metodo-dhondt</v>
      </c>
      <c r="D1399" s="99" t="s">
        <v>174</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Ley D'Hondt</v>
      </c>
      <c r="C1400" s="85" t="str" cm="1">
        <f t="array" ref="C1400">IFERROR(INDEX('03.Muestra'!$F$8:$F$42,SMALL(IF("Página Web"='03.Muestra'!$D$8:$D$42,ROW('03.Muestra'!$F$8:$F$42)-MIN(ROW('03.Muestra'!$D$8:$D$42))+1,""),ROW()-1386)),"")</f>
        <v>https://elecciones.comunidad.madrid/es/resultados/ley_d_hondt</v>
      </c>
      <c r="D1400" s="99" t="s">
        <v>174</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Voto por correo elector CERA en España</v>
      </c>
      <c r="C1401" s="85" t="str" cm="1">
        <f t="array" ref="C1401">IFERROR(INDEX('03.Muestra'!$F$8:$F$42,SMALL(IF("Página Web"='03.Muestra'!$D$8:$D$42,ROW('03.Muestra'!$F$8:$F$42)-MIN(ROW('03.Muestra'!$D$8:$D$42))+1,""),ROW()-1386)),"")</f>
        <v>https://elecciones.comunidad.madrid/es/preguntas-frecuentes/voto-correo-electores-residentes-extranjero</v>
      </c>
      <c r="D1401" s="99" t="s">
        <v>174</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Contacto</v>
      </c>
      <c r="C1402" s="85" t="str" cm="1">
        <f t="array" ref="C1402">IFERROR(INDEX('03.Muestra'!$F$8:$F$42,SMALL(IF("Página Web"='03.Muestra'!$D$8:$D$42,ROW('03.Muestra'!$F$8:$F$42)-MIN(ROW('03.Muestra'!$D$8:$D$42))+1,""),ROW()-1386)),"")</f>
        <v>https://elecciones.comunidad.madrid/es/buzon-de-sugerencias</v>
      </c>
      <c r="D1402" s="99" t="s">
        <v>174</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Buscador</v>
      </c>
      <c r="C1403" s="85" t="str" cm="1">
        <f t="array" ref="C1403">IFERROR(INDEX('03.Muestra'!$F$8:$F$42,SMALL(IF("Página Web"='03.Muestra'!$D$8:$D$42,ROW('03.Muestra'!$F$8:$F$42)-MIN(ROW('03.Muestra'!$D$8:$D$42))+1,""),ROW()-1386)),"")</f>
        <v>https://elecciones.comunidad.madrid/es/search?search_api_fulltext=partido</v>
      </c>
      <c r="D1403" s="99" t="s">
        <v>174</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Aviso Legal-Privacidad</v>
      </c>
      <c r="C1404" s="85" t="str" cm="1">
        <f t="array" ref="C1404">IFERROR(INDEX('03.Muestra'!$F$8:$F$42,SMALL(IF("Página Web"='03.Muestra'!$D$8:$D$42,ROW('03.Muestra'!$F$8:$F$42)-MIN(ROW('03.Muestra'!$D$8:$D$42))+1,""),ROW()-1386)),"")</f>
        <v>https://elecciones.comunidad.madrid/es/aviso-legal</v>
      </c>
      <c r="D1404" s="99" t="s">
        <v>174</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Mapa Web</v>
      </c>
      <c r="C1405" s="85" t="str" cm="1">
        <f t="array" ref="C1405">IFERROR(INDEX('03.Muestra'!$F$8:$F$42,SMALL(IF("Página Web"='03.Muestra'!$D$8:$D$42,ROW('03.Muestra'!$F$8:$F$42)-MIN(ROW('03.Muestra'!$D$8:$D$42))+1,""),ROW()-1386)),"")</f>
        <v>https://elecciones.comunidad.madrid/es/sitemap</v>
      </c>
      <c r="D1405" s="99" t="s">
        <v>174</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Declaracion Accesibilidad</v>
      </c>
      <c r="C1406" s="85" t="str" cm="1">
        <f t="array" ref="C1406">IFERROR(INDEX('03.Muestra'!$F$8:$F$42,SMALL(IF("Página Web"='03.Muestra'!$D$8:$D$42,ROW('03.Muestra'!$F$8:$F$42)-MIN(ROW('03.Muestra'!$D$8:$D$42))+1,""),ROW()-1386)),"")</f>
        <v>https://elecciones.comunidad.madrid/es/accesibilidad</v>
      </c>
      <c r="D1406" s="99" t="s">
        <v>174</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ref="D1407:D1421" si="73">IF(AND(B1407&lt;&gt;"",C1407&lt;&gt;""),"N/T","")</f>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181</v>
      </c>
      <c r="B1424" s="23" t="s">
        <v>173</v>
      </c>
      <c r="C1424" s="24" t="s">
        <v>261</v>
      </c>
      <c r="D1424" s="25" t="s">
        <v>183</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https://elecciones.comunidad.madrid/es</v>
      </c>
      <c r="D1425" s="99" t="s">
        <v>184</v>
      </c>
      <c r="E1425" s="79" t="str">
        <f t="shared" ref="E1425:E1459" si="74">IF(D1425&lt;&gt;"",IF(AND(B1425&lt;&gt;"",C1425&lt;&gt;""),"","ERR"),"")</f>
        <v/>
      </c>
      <c r="F1425" s="86" t="s">
        <v>185</v>
      </c>
      <c r="G1425" s="87" t="s">
        <v>186</v>
      </c>
      <c r="H1425" s="88" t="s">
        <v>184</v>
      </c>
      <c r="I1425" s="89" t="s">
        <v>176</v>
      </c>
      <c r="J1425" s="90" t="s">
        <v>174</v>
      </c>
      <c r="K1425" s="179" t="s">
        <v>180</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Resultado Elecciones 28M 2023</v>
      </c>
      <c r="C1426" s="85" t="str" cm="1">
        <f t="array" ref="C1426">IFERROR(INDEX('03.Muestra'!$F$8:$F$42,SMALL(IF("Página Web"='03.Muestra'!$D$8:$D$42,ROW('03.Muestra'!$F$8:$F$42)-MIN(ROW('03.Muestra'!$D$8:$D$42))+1,""),ROW()-1424)),"")</f>
        <v>https://elecciones.comunidad.madrid/es/resultados-elecciones-asamblea-madrid-28m-2023</v>
      </c>
      <c r="D1426" s="99" t="s">
        <v>184</v>
      </c>
      <c r="E1426" s="79" t="str">
        <f t="shared" si="74"/>
        <v/>
      </c>
      <c r="F1426" s="91">
        <f ca="1">COUNTIF($D1425:INDIRECT("$D" &amp;  SUM(ROW()-1,'03.Muestra'!$D$45)-1),F1425)</f>
        <v>0</v>
      </c>
      <c r="G1426" s="91">
        <f ca="1">COUNTIF($D1425:INDIRECT("$D" &amp;  SUM(ROW()-1,'03.Muestra'!$D$45)-1),G1425)</f>
        <v>0</v>
      </c>
      <c r="H1426" s="91">
        <f ca="1">COUNTIF($D1425:INDIRECT("$D" &amp;  SUM(ROW()-1,'03.Muestra'!$D$45)-1),H1425)</f>
        <v>20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Normativa electoral</v>
      </c>
      <c r="C1427" s="85" t="str" cm="1">
        <f t="array" ref="C1427">IFERROR(INDEX('03.Muestra'!$F$8:$F$42,SMALL(IF("Página Web"='03.Muestra'!$D$8:$D$42,ROW('03.Muestra'!$F$8:$F$42)-MIN(ROW('03.Muestra'!$D$8:$D$42))+1,""),ROW()-1424)),"")</f>
        <v>https://elecciones.comunidad.madrid/es/informacion-electoral/normativa-electoral</v>
      </c>
      <c r="D1427" s="99" t="s">
        <v>184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Calendario electoral</v>
      </c>
      <c r="C1428" s="85" t="str" cm="1">
        <f t="array" ref="C1428">IFERROR(INDEX('03.Muestra'!$F$8:$F$42,SMALL(IF("Página Web"='03.Muestra'!$D$8:$D$42,ROW('03.Muestra'!$F$8:$F$42)-MIN(ROW('03.Muestra'!$D$8:$D$42))+1,""),ROW()-1424)),"")</f>
        <v>https://elecciones.comunidad.madrid/es/informacion-electoral/calendario-electoral</v>
      </c>
      <c r="D1428" s="99" t="s">
        <v>184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Direcciones y teléfonos</v>
      </c>
      <c r="C1429" s="85" t="str" cm="1">
        <f t="array" ref="C1429">IFERROR(INDEX('03.Muestra'!$F$8:$F$42,SMALL(IF("Página Web"='03.Muestra'!$D$8:$D$42,ROW('03.Muestra'!$F$8:$F$42)-MIN(ROW('03.Muestra'!$D$8:$D$42))+1,""),ROW()-1424)),"")</f>
        <v>https://elecciones.comunidad.madrid/es/juntas-electorales/direcciones-telefonos</v>
      </c>
      <c r="D1429" s="99" t="s">
        <v>184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Impresos electrónicos</v>
      </c>
      <c r="C1430" s="85" t="str" cm="1">
        <f t="array" ref="C1430">IFERROR(INDEX('03.Muestra'!$F$8:$F$42,SMALL(IF("Página Web"='03.Muestra'!$D$8:$D$42,ROW('03.Muestra'!$F$8:$F$42)-MIN(ROW('03.Muestra'!$D$8:$D$42))+1,""),ROW()-1424)),"")</f>
        <v>https://elecciones.comunidad.madrid/es/formaciones-politicas/impresos-electronicos</v>
      </c>
      <c r="D1430" s="99" t="s">
        <v>184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Listado de candidaturas</v>
      </c>
      <c r="C1431" s="85" t="str" cm="1">
        <f t="array" ref="C1431">IFERROR(INDEX('03.Muestra'!$F$8:$F$42,SMALL(IF("Página Web"='03.Muestra'!$D$8:$D$42,ROW('03.Muestra'!$F$8:$F$42)-MIN(ROW('03.Muestra'!$D$8:$D$42))+1,""),ROW()-1424)),"")</f>
        <v>https://elecciones.comunidad.madrid/es/formaciones-politicas/listado-candidaturas-proclamadas</v>
      </c>
      <c r="D1431" s="99" t="s">
        <v>184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Partido Feminista de España</v>
      </c>
      <c r="C1432" s="85" t="str" cm="1">
        <f t="array" ref="C1432">IFERROR(INDEX('03.Muestra'!$F$8:$F$42,SMALL(IF("Página Web"='03.Muestra'!$D$8:$D$42,ROW('03.Muestra'!$F$8:$F$42)-MIN(ROW('03.Muestra'!$D$8:$D$42))+1,""),ROW()-1424)),"")</f>
        <v>https://elecciones.comunidad.madrid/es/formaciones-politicas/listado-candidaturas/partido-feminista-espana</v>
      </c>
      <c r="D1432" s="99" t="s">
        <v>184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¿Dónde voto?</v>
      </c>
      <c r="C1433" s="85" t="str" cm="1">
        <f t="array" ref="C1433">IFERROR(INDEX('03.Muestra'!$F$8:$F$42,SMALL(IF("Página Web"='03.Muestra'!$D$8:$D$42,ROW('03.Muestra'!$F$8:$F$42)-MIN(ROW('03.Muestra'!$D$8:$D$42))+1,""),ROW()-1424)),"")</f>
        <v>https://elecciones.comunidad.madrid/es/votar/donde-voto</v>
      </c>
      <c r="D1433" s="99" t="s">
        <v>184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Voto presencial</v>
      </c>
      <c r="C1434" s="85" t="str" cm="1">
        <f t="array" ref="C1434">IFERROR(INDEX('03.Muestra'!$F$8:$F$42,SMALL(IF("Página Web"='03.Muestra'!$D$8:$D$42,ROW('03.Muestra'!$F$8:$F$42)-MIN(ROW('03.Muestra'!$D$8:$D$42))+1,""),ROW()-1424)),"")</f>
        <v>https://elecciones.comunidad.madrid/es/voto-local-electoral/voto-presencial</v>
      </c>
      <c r="D1434" s="99" t="s">
        <v>184</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Ciudadanos temporalmente en el extranjero</v>
      </c>
      <c r="C1435" s="85" t="str" cm="1">
        <f t="array" ref="C1435">IFERROR(INDEX('03.Muestra'!$F$8:$F$42,SMALL(IF("Página Web"='03.Muestra'!$D$8:$D$42,ROW('03.Muestra'!$F$8:$F$42)-MIN(ROW('03.Muestra'!$D$8:$D$42))+1,""),ROW()-1424)),"")</f>
        <v>https://elecciones.comunidad.madrid/es/voto-correo/solicitud-voto-temporalmente-ausentes</v>
      </c>
      <c r="D1435" s="99" t="s">
        <v>184</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Nuevo votante</v>
      </c>
      <c r="C1436" s="85" t="str" cm="1">
        <f t="array" ref="C1436">IFERROR(INDEX('03.Muestra'!$F$8:$F$42,SMALL(IF("Página Web"='03.Muestra'!$D$8:$D$42,ROW('03.Muestra'!$F$8:$F$42)-MIN(ROW('03.Muestra'!$D$8:$D$42))+1,""),ROW()-1424)),"")</f>
        <v>https://elecciones.comunidad.madrid/es/votar/nuevo-votante</v>
      </c>
      <c r="D1436" s="99" t="s">
        <v>184</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Simulación método D'Hondt</v>
      </c>
      <c r="C1437" s="85" t="str" cm="1">
        <f t="array" ref="C1437">IFERROR(INDEX('03.Muestra'!$F$8:$F$42,SMALL(IF("Página Web"='03.Muestra'!$D$8:$D$42,ROW('03.Muestra'!$F$8:$F$42)-MIN(ROW('03.Muestra'!$D$8:$D$42))+1,""),ROW()-1424)),"")</f>
        <v>https://elecciones.comunidad.madrid/es/informacion-util/simulacion-metodo-dhondt</v>
      </c>
      <c r="D1437" s="99" t="s">
        <v>184</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Ley D'Hondt</v>
      </c>
      <c r="C1438" s="85" t="str" cm="1">
        <f t="array" ref="C1438">IFERROR(INDEX('03.Muestra'!$F$8:$F$42,SMALL(IF("Página Web"='03.Muestra'!$D$8:$D$42,ROW('03.Muestra'!$F$8:$F$42)-MIN(ROW('03.Muestra'!$D$8:$D$42))+1,""),ROW()-1424)),"")</f>
        <v>https://elecciones.comunidad.madrid/es/resultados/ley_d_hondt</v>
      </c>
      <c r="D1438" s="99" t="s">
        <v>184</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Voto por correo elector CERA en España</v>
      </c>
      <c r="C1439" s="85" t="str" cm="1">
        <f t="array" ref="C1439">IFERROR(INDEX('03.Muestra'!$F$8:$F$42,SMALL(IF("Página Web"='03.Muestra'!$D$8:$D$42,ROW('03.Muestra'!$F$8:$F$42)-MIN(ROW('03.Muestra'!$D$8:$D$42))+1,""),ROW()-1424)),"")</f>
        <v>https://elecciones.comunidad.madrid/es/preguntas-frecuentes/voto-correo-electores-residentes-extranjero</v>
      </c>
      <c r="D1439" s="99" t="s">
        <v>184</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Contacto</v>
      </c>
      <c r="C1440" s="85" t="str" cm="1">
        <f t="array" ref="C1440">IFERROR(INDEX('03.Muestra'!$F$8:$F$42,SMALL(IF("Página Web"='03.Muestra'!$D$8:$D$42,ROW('03.Muestra'!$F$8:$F$42)-MIN(ROW('03.Muestra'!$D$8:$D$42))+1,""),ROW()-1424)),"")</f>
        <v>https://elecciones.comunidad.madrid/es/buzon-de-sugerencias</v>
      </c>
      <c r="D1440" s="99" t="s">
        <v>184</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Buscador</v>
      </c>
      <c r="C1441" s="85" t="str" cm="1">
        <f t="array" ref="C1441">IFERROR(INDEX('03.Muestra'!$F$8:$F$42,SMALL(IF("Página Web"='03.Muestra'!$D$8:$D$42,ROW('03.Muestra'!$F$8:$F$42)-MIN(ROW('03.Muestra'!$D$8:$D$42))+1,""),ROW()-1424)),"")</f>
        <v>https://elecciones.comunidad.madrid/es/search?search_api_fulltext=partido</v>
      </c>
      <c r="D1441" s="99" t="s">
        <v>184</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Aviso Legal-Privacidad</v>
      </c>
      <c r="C1442" s="85" t="str" cm="1">
        <f t="array" ref="C1442">IFERROR(INDEX('03.Muestra'!$F$8:$F$42,SMALL(IF("Página Web"='03.Muestra'!$D$8:$D$42,ROW('03.Muestra'!$F$8:$F$42)-MIN(ROW('03.Muestra'!$D$8:$D$42))+1,""),ROW()-1424)),"")</f>
        <v>https://elecciones.comunidad.madrid/es/aviso-legal</v>
      </c>
      <c r="D1442" s="99" t="s">
        <v>184</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Mapa Web</v>
      </c>
      <c r="C1443" s="85" t="str" cm="1">
        <f t="array" ref="C1443">IFERROR(INDEX('03.Muestra'!$F$8:$F$42,SMALL(IF("Página Web"='03.Muestra'!$D$8:$D$42,ROW('03.Muestra'!$F$8:$F$42)-MIN(ROW('03.Muestra'!$D$8:$D$42))+1,""),ROW()-1424)),"")</f>
        <v>https://elecciones.comunidad.madrid/es/sitemap</v>
      </c>
      <c r="D1443" s="99" t="s">
        <v>184</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Declaracion Accesibilidad</v>
      </c>
      <c r="C1444" s="85" t="str" cm="1">
        <f t="array" ref="C1444">IFERROR(INDEX('03.Muestra'!$F$8:$F$42,SMALL(IF("Página Web"='03.Muestra'!$D$8:$D$42,ROW('03.Muestra'!$F$8:$F$42)-MIN(ROW('03.Muestra'!$D$8:$D$42))+1,""),ROW()-1424)),"")</f>
        <v>https://elecciones.comunidad.madrid/es/accesibilidad</v>
      </c>
      <c r="D1444" s="99" t="s">
        <v>184</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ref="D1445:D1459" si="75">IF(AND(B1445&lt;&gt;"",C1445&lt;&gt;""),"N/T","")</f>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181</v>
      </c>
      <c r="B1462" s="23" t="s">
        <v>173</v>
      </c>
      <c r="C1462" s="24" t="s">
        <v>262</v>
      </c>
      <c r="D1462" s="25" t="s">
        <v>183</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https://elecciones.comunidad.madrid/es</v>
      </c>
      <c r="D1463" s="99" t="s">
        <v>174</v>
      </c>
      <c r="E1463" s="79" t="str">
        <f t="shared" ref="E1463:E1497" si="76">IF(D1463&lt;&gt;"",IF(AND(B1463&lt;&gt;"",C1463&lt;&gt;""),"","ERR"),"")</f>
        <v/>
      </c>
      <c r="F1463" s="86" t="s">
        <v>185</v>
      </c>
      <c r="G1463" s="87" t="s">
        <v>186</v>
      </c>
      <c r="H1463" s="88" t="s">
        <v>184</v>
      </c>
      <c r="I1463" s="89" t="s">
        <v>176</v>
      </c>
      <c r="J1463" s="90" t="s">
        <v>174</v>
      </c>
      <c r="K1463" s="179" t="s">
        <v>180</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Resultado Elecciones 28M 2023</v>
      </c>
      <c r="C1464" s="85" t="str" cm="1">
        <f t="array" ref="C1464">IFERROR(INDEX('03.Muestra'!$F$8:$F$42,SMALL(IF("Página Web"='03.Muestra'!$D$8:$D$42,ROW('03.Muestra'!$F$8:$F$42)-MIN(ROW('03.Muestra'!$D$8:$D$42))+1,""),ROW()-1462)),"")</f>
        <v>https://elecciones.comunidad.madrid/es/resultados-elecciones-asamblea-madrid-28m-2023</v>
      </c>
      <c r="D1464" s="99" t="s">
        <v>174</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Normativa electoral</v>
      </c>
      <c r="C1465" s="85" t="str" cm="1">
        <f t="array" ref="C1465">IFERROR(INDEX('03.Muestra'!$F$8:$F$42,SMALL(IF("Página Web"='03.Muestra'!$D$8:$D$42,ROW('03.Muestra'!$F$8:$F$42)-MIN(ROW('03.Muestra'!$D$8:$D$42))+1,""),ROW()-1462)),"")</f>
        <v>https://elecciones.comunidad.madrid/es/informacion-electoral/normativa-electoral</v>
      </c>
      <c r="D1465" s="99" t="s">
        <v>174</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Calendario electoral</v>
      </c>
      <c r="C1466" s="85" t="str" cm="1">
        <f t="array" ref="C1466">IFERROR(INDEX('03.Muestra'!$F$8:$F$42,SMALL(IF("Página Web"='03.Muestra'!$D$8:$D$42,ROW('03.Muestra'!$F$8:$F$42)-MIN(ROW('03.Muestra'!$D$8:$D$42))+1,""),ROW()-1462)),"")</f>
        <v>https://elecciones.comunidad.madrid/es/informacion-electoral/calendario-electoral</v>
      </c>
      <c r="D1466" s="99" t="s">
        <v>174</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Direcciones y teléfonos</v>
      </c>
      <c r="C1467" s="85" t="str" cm="1">
        <f t="array" ref="C1467">IFERROR(INDEX('03.Muestra'!$F$8:$F$42,SMALL(IF("Página Web"='03.Muestra'!$D$8:$D$42,ROW('03.Muestra'!$F$8:$F$42)-MIN(ROW('03.Muestra'!$D$8:$D$42))+1,""),ROW()-1462)),"")</f>
        <v>https://elecciones.comunidad.madrid/es/juntas-electorales/direcciones-telefonos</v>
      </c>
      <c r="D1467" s="99" t="s">
        <v>174</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Impresos electrónicos</v>
      </c>
      <c r="C1468" s="85" t="str" cm="1">
        <f t="array" ref="C1468">IFERROR(INDEX('03.Muestra'!$F$8:$F$42,SMALL(IF("Página Web"='03.Muestra'!$D$8:$D$42,ROW('03.Muestra'!$F$8:$F$42)-MIN(ROW('03.Muestra'!$D$8:$D$42))+1,""),ROW()-1462)),"")</f>
        <v>https://elecciones.comunidad.madrid/es/formaciones-politicas/impresos-electronicos</v>
      </c>
      <c r="D1468" s="99" t="s">
        <v>174</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Listado de candidaturas</v>
      </c>
      <c r="C1469" s="85" t="str" cm="1">
        <f t="array" ref="C1469">IFERROR(INDEX('03.Muestra'!$F$8:$F$42,SMALL(IF("Página Web"='03.Muestra'!$D$8:$D$42,ROW('03.Muestra'!$F$8:$F$42)-MIN(ROW('03.Muestra'!$D$8:$D$42))+1,""),ROW()-1462)),"")</f>
        <v>https://elecciones.comunidad.madrid/es/formaciones-politicas/listado-candidaturas-proclamadas</v>
      </c>
      <c r="D1469" s="99" t="s">
        <v>174</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Partido Feminista de España</v>
      </c>
      <c r="C1470" s="85" t="str" cm="1">
        <f t="array" ref="C1470">IFERROR(INDEX('03.Muestra'!$F$8:$F$42,SMALL(IF("Página Web"='03.Muestra'!$D$8:$D$42,ROW('03.Muestra'!$F$8:$F$42)-MIN(ROW('03.Muestra'!$D$8:$D$42))+1,""),ROW()-1462)),"")</f>
        <v>https://elecciones.comunidad.madrid/es/formaciones-politicas/listado-candidaturas/partido-feminista-espana</v>
      </c>
      <c r="D1470" s="99" t="s">
        <v>174</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¿Dónde voto?</v>
      </c>
      <c r="C1471" s="85" t="str" cm="1">
        <f t="array" ref="C1471">IFERROR(INDEX('03.Muestra'!$F$8:$F$42,SMALL(IF("Página Web"='03.Muestra'!$D$8:$D$42,ROW('03.Muestra'!$F$8:$F$42)-MIN(ROW('03.Muestra'!$D$8:$D$42))+1,""),ROW()-1462)),"")</f>
        <v>https://elecciones.comunidad.madrid/es/votar/donde-voto</v>
      </c>
      <c r="D1471" s="99" t="s">
        <v>174</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Voto presencial</v>
      </c>
      <c r="C1472" s="85" t="str" cm="1">
        <f t="array" ref="C1472">IFERROR(INDEX('03.Muestra'!$F$8:$F$42,SMALL(IF("Página Web"='03.Muestra'!$D$8:$D$42,ROW('03.Muestra'!$F$8:$F$42)-MIN(ROW('03.Muestra'!$D$8:$D$42))+1,""),ROW()-1462)),"")</f>
        <v>https://elecciones.comunidad.madrid/es/voto-local-electoral/voto-presencial</v>
      </c>
      <c r="D1472" s="99" t="s">
        <v>174</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Ciudadanos temporalmente en el extranjero</v>
      </c>
      <c r="C1473" s="85" t="str" cm="1">
        <f t="array" ref="C1473">IFERROR(INDEX('03.Muestra'!$F$8:$F$42,SMALL(IF("Página Web"='03.Muestra'!$D$8:$D$42,ROW('03.Muestra'!$F$8:$F$42)-MIN(ROW('03.Muestra'!$D$8:$D$42))+1,""),ROW()-1462)),"")</f>
        <v>https://elecciones.comunidad.madrid/es/voto-correo/solicitud-voto-temporalmente-ausentes</v>
      </c>
      <c r="D1473" s="99" t="s">
        <v>174</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Nuevo votante</v>
      </c>
      <c r="C1474" s="85" t="str" cm="1">
        <f t="array" ref="C1474">IFERROR(INDEX('03.Muestra'!$F$8:$F$42,SMALL(IF("Página Web"='03.Muestra'!$D$8:$D$42,ROW('03.Muestra'!$F$8:$F$42)-MIN(ROW('03.Muestra'!$D$8:$D$42))+1,""),ROW()-1462)),"")</f>
        <v>https://elecciones.comunidad.madrid/es/votar/nuevo-votante</v>
      </c>
      <c r="D1474" s="99" t="s">
        <v>174</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Simulación método D'Hondt</v>
      </c>
      <c r="C1475" s="85" t="str" cm="1">
        <f t="array" ref="C1475">IFERROR(INDEX('03.Muestra'!$F$8:$F$42,SMALL(IF("Página Web"='03.Muestra'!$D$8:$D$42,ROW('03.Muestra'!$F$8:$F$42)-MIN(ROW('03.Muestra'!$D$8:$D$42))+1,""),ROW()-1462)),"")</f>
        <v>https://elecciones.comunidad.madrid/es/informacion-util/simulacion-metodo-dhondt</v>
      </c>
      <c r="D1475" s="99" t="s">
        <v>174</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Ley D'Hondt</v>
      </c>
      <c r="C1476" s="85" t="str" cm="1">
        <f t="array" ref="C1476">IFERROR(INDEX('03.Muestra'!$F$8:$F$42,SMALL(IF("Página Web"='03.Muestra'!$D$8:$D$42,ROW('03.Muestra'!$F$8:$F$42)-MIN(ROW('03.Muestra'!$D$8:$D$42))+1,""),ROW()-1462)),"")</f>
        <v>https://elecciones.comunidad.madrid/es/resultados/ley_d_hondt</v>
      </c>
      <c r="D1476" s="99" t="s">
        <v>174</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Voto por correo elector CERA en España</v>
      </c>
      <c r="C1477" s="85" t="str" cm="1">
        <f t="array" ref="C1477">IFERROR(INDEX('03.Muestra'!$F$8:$F$42,SMALL(IF("Página Web"='03.Muestra'!$D$8:$D$42,ROW('03.Muestra'!$F$8:$F$42)-MIN(ROW('03.Muestra'!$D$8:$D$42))+1,""),ROW()-1462)),"")</f>
        <v>https://elecciones.comunidad.madrid/es/preguntas-frecuentes/voto-correo-electores-residentes-extranjero</v>
      </c>
      <c r="D1477" s="99" t="s">
        <v>174</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Contacto</v>
      </c>
      <c r="C1478" s="85" t="str" cm="1">
        <f t="array" ref="C1478">IFERROR(INDEX('03.Muestra'!$F$8:$F$42,SMALL(IF("Página Web"='03.Muestra'!$D$8:$D$42,ROW('03.Muestra'!$F$8:$F$42)-MIN(ROW('03.Muestra'!$D$8:$D$42))+1,""),ROW()-1462)),"")</f>
        <v>https://elecciones.comunidad.madrid/es/buzon-de-sugerencias</v>
      </c>
      <c r="D1478" s="99" t="s">
        <v>174</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Buscador</v>
      </c>
      <c r="C1479" s="85" t="str" cm="1">
        <f t="array" ref="C1479">IFERROR(INDEX('03.Muestra'!$F$8:$F$42,SMALL(IF("Página Web"='03.Muestra'!$D$8:$D$42,ROW('03.Muestra'!$F$8:$F$42)-MIN(ROW('03.Muestra'!$D$8:$D$42))+1,""),ROW()-1462)),"")</f>
        <v>https://elecciones.comunidad.madrid/es/search?search_api_fulltext=partido</v>
      </c>
      <c r="D1479" s="99" t="s">
        <v>174</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Aviso Legal-Privacidad</v>
      </c>
      <c r="C1480" s="85" t="str" cm="1">
        <f t="array" ref="C1480">IFERROR(INDEX('03.Muestra'!$F$8:$F$42,SMALL(IF("Página Web"='03.Muestra'!$D$8:$D$42,ROW('03.Muestra'!$F$8:$F$42)-MIN(ROW('03.Muestra'!$D$8:$D$42))+1,""),ROW()-1462)),"")</f>
        <v>https://elecciones.comunidad.madrid/es/aviso-legal</v>
      </c>
      <c r="D1480" s="99" t="s">
        <v>174</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Mapa Web</v>
      </c>
      <c r="C1481" s="85" t="str" cm="1">
        <f t="array" ref="C1481">IFERROR(INDEX('03.Muestra'!$F$8:$F$42,SMALL(IF("Página Web"='03.Muestra'!$D$8:$D$42,ROW('03.Muestra'!$F$8:$F$42)-MIN(ROW('03.Muestra'!$D$8:$D$42))+1,""),ROW()-1462)),"")</f>
        <v>https://elecciones.comunidad.madrid/es/sitemap</v>
      </c>
      <c r="D1481" s="99" t="s">
        <v>174</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Declaracion Accesibilidad</v>
      </c>
      <c r="C1482" s="85" t="str" cm="1">
        <f t="array" ref="C1482">IFERROR(INDEX('03.Muestra'!$F$8:$F$42,SMALL(IF("Página Web"='03.Muestra'!$D$8:$D$42,ROW('03.Muestra'!$F$8:$F$42)-MIN(ROW('03.Muestra'!$D$8:$D$42))+1,""),ROW()-1462)),"")</f>
        <v>https://elecciones.comunidad.madrid/es/accesibilidad</v>
      </c>
      <c r="D1482" s="99" t="s">
        <v>174</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ref="D1483:D1497" si="77">IF(AND(B1483&lt;&gt;"",C1483&lt;&gt;""),"N/T","")</f>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181</v>
      </c>
      <c r="B1500" s="23" t="s">
        <v>173</v>
      </c>
      <c r="C1500" s="24" t="s">
        <v>263</v>
      </c>
      <c r="D1500" s="25" t="s">
        <v>183</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https://elecciones.comunidad.madrid/es</v>
      </c>
      <c r="D1501" s="99" t="s">
        <v>174</v>
      </c>
      <c r="E1501" s="79" t="str">
        <f t="shared" ref="E1501:E1535" si="78">IF(D1501&lt;&gt;"",IF(AND(B1501&lt;&gt;"",C1501&lt;&gt;""),"","ERR"),"")</f>
        <v/>
      </c>
      <c r="F1501" s="86" t="s">
        <v>185</v>
      </c>
      <c r="G1501" s="87" t="s">
        <v>186</v>
      </c>
      <c r="H1501" s="88" t="s">
        <v>184</v>
      </c>
      <c r="I1501" s="89" t="s">
        <v>176</v>
      </c>
      <c r="J1501" s="90" t="s">
        <v>174</v>
      </c>
      <c r="K1501" s="179" t="s">
        <v>180</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Resultado Elecciones 28M 2023</v>
      </c>
      <c r="C1502" s="85" t="str" cm="1">
        <f t="array" ref="C1502">IFERROR(INDEX('03.Muestra'!$F$8:$F$42,SMALL(IF("Página Web"='03.Muestra'!$D$8:$D$42,ROW('03.Muestra'!$F$8:$F$42)-MIN(ROW('03.Muestra'!$D$8:$D$42))+1,""),ROW()-1500)),"")</f>
        <v>https://elecciones.comunidad.madrid/es/resultados-elecciones-asamblea-madrid-28m-2023</v>
      </c>
      <c r="D1502" s="99" t="s">
        <v>174</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20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Normativa electoral</v>
      </c>
      <c r="C1503" s="85" t="str" cm="1">
        <f t="array" ref="C1503">IFERROR(INDEX('03.Muestra'!$F$8:$F$42,SMALL(IF("Página Web"='03.Muestra'!$D$8:$D$42,ROW('03.Muestra'!$F$8:$F$42)-MIN(ROW('03.Muestra'!$D$8:$D$42))+1,""),ROW()-1500)),"")</f>
        <v>https://elecciones.comunidad.madrid/es/informacion-electoral/normativa-electoral</v>
      </c>
      <c r="D1503" s="99" t="s">
        <v>174</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Calendario electoral</v>
      </c>
      <c r="C1504" s="85" t="str" cm="1">
        <f t="array" ref="C1504">IFERROR(INDEX('03.Muestra'!$F$8:$F$42,SMALL(IF("Página Web"='03.Muestra'!$D$8:$D$42,ROW('03.Muestra'!$F$8:$F$42)-MIN(ROW('03.Muestra'!$D$8:$D$42))+1,""),ROW()-1500)),"")</f>
        <v>https://elecciones.comunidad.madrid/es/informacion-electoral/calendario-electoral</v>
      </c>
      <c r="D1504" s="99" t="s">
        <v>174</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Direcciones y teléfonos</v>
      </c>
      <c r="C1505" s="85" t="str" cm="1">
        <f t="array" ref="C1505">IFERROR(INDEX('03.Muestra'!$F$8:$F$42,SMALL(IF("Página Web"='03.Muestra'!$D$8:$D$42,ROW('03.Muestra'!$F$8:$F$42)-MIN(ROW('03.Muestra'!$D$8:$D$42))+1,""),ROW()-1500)),"")</f>
        <v>https://elecciones.comunidad.madrid/es/juntas-electorales/direcciones-telefonos</v>
      </c>
      <c r="D1505" s="99" t="s">
        <v>174</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Impresos electrónicos</v>
      </c>
      <c r="C1506" s="85" t="str" cm="1">
        <f t="array" ref="C1506">IFERROR(INDEX('03.Muestra'!$F$8:$F$42,SMALL(IF("Página Web"='03.Muestra'!$D$8:$D$42,ROW('03.Muestra'!$F$8:$F$42)-MIN(ROW('03.Muestra'!$D$8:$D$42))+1,""),ROW()-1500)),"")</f>
        <v>https://elecciones.comunidad.madrid/es/formaciones-politicas/impresos-electronicos</v>
      </c>
      <c r="D1506" s="99" t="s">
        <v>174</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Listado de candidaturas</v>
      </c>
      <c r="C1507" s="85" t="str" cm="1">
        <f t="array" ref="C1507">IFERROR(INDEX('03.Muestra'!$F$8:$F$42,SMALL(IF("Página Web"='03.Muestra'!$D$8:$D$42,ROW('03.Muestra'!$F$8:$F$42)-MIN(ROW('03.Muestra'!$D$8:$D$42))+1,""),ROW()-1500)),"")</f>
        <v>https://elecciones.comunidad.madrid/es/formaciones-politicas/listado-candidaturas-proclamadas</v>
      </c>
      <c r="D1507" s="99" t="s">
        <v>174</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Partido Feminista de España</v>
      </c>
      <c r="C1508" s="85" t="str" cm="1">
        <f t="array" ref="C1508">IFERROR(INDEX('03.Muestra'!$F$8:$F$42,SMALL(IF("Página Web"='03.Muestra'!$D$8:$D$42,ROW('03.Muestra'!$F$8:$F$42)-MIN(ROW('03.Muestra'!$D$8:$D$42))+1,""),ROW()-1500)),"")</f>
        <v>https://elecciones.comunidad.madrid/es/formaciones-politicas/listado-candidaturas/partido-feminista-espana</v>
      </c>
      <c r="D1508" s="99" t="s">
        <v>174</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¿Dónde voto?</v>
      </c>
      <c r="C1509" s="85" t="str" cm="1">
        <f t="array" ref="C1509">IFERROR(INDEX('03.Muestra'!$F$8:$F$42,SMALL(IF("Página Web"='03.Muestra'!$D$8:$D$42,ROW('03.Muestra'!$F$8:$F$42)-MIN(ROW('03.Muestra'!$D$8:$D$42))+1,""),ROW()-1500)),"")</f>
        <v>https://elecciones.comunidad.madrid/es/votar/donde-voto</v>
      </c>
      <c r="D1509" s="99" t="s">
        <v>174</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Voto presencial</v>
      </c>
      <c r="C1510" s="85" t="str" cm="1">
        <f t="array" ref="C1510">IFERROR(INDEX('03.Muestra'!$F$8:$F$42,SMALL(IF("Página Web"='03.Muestra'!$D$8:$D$42,ROW('03.Muestra'!$F$8:$F$42)-MIN(ROW('03.Muestra'!$D$8:$D$42))+1,""),ROW()-1500)),"")</f>
        <v>https://elecciones.comunidad.madrid/es/voto-local-electoral/voto-presencial</v>
      </c>
      <c r="D1510" s="99" t="s">
        <v>174</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Ciudadanos temporalmente en el extranjero</v>
      </c>
      <c r="C1511" s="85" t="str" cm="1">
        <f t="array" ref="C1511">IFERROR(INDEX('03.Muestra'!$F$8:$F$42,SMALL(IF("Página Web"='03.Muestra'!$D$8:$D$42,ROW('03.Muestra'!$F$8:$F$42)-MIN(ROW('03.Muestra'!$D$8:$D$42))+1,""),ROW()-1500)),"")</f>
        <v>https://elecciones.comunidad.madrid/es/voto-correo/solicitud-voto-temporalmente-ausentes</v>
      </c>
      <c r="D1511" s="99" t="s">
        <v>174</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Nuevo votante</v>
      </c>
      <c r="C1512" s="85" t="str" cm="1">
        <f t="array" ref="C1512">IFERROR(INDEX('03.Muestra'!$F$8:$F$42,SMALL(IF("Página Web"='03.Muestra'!$D$8:$D$42,ROW('03.Muestra'!$F$8:$F$42)-MIN(ROW('03.Muestra'!$D$8:$D$42))+1,""),ROW()-1500)),"")</f>
        <v>https://elecciones.comunidad.madrid/es/votar/nuevo-votante</v>
      </c>
      <c r="D1512" s="99" t="s">
        <v>174</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Simulación método D'Hondt</v>
      </c>
      <c r="C1513" s="85" t="str" cm="1">
        <f t="array" ref="C1513">IFERROR(INDEX('03.Muestra'!$F$8:$F$42,SMALL(IF("Página Web"='03.Muestra'!$D$8:$D$42,ROW('03.Muestra'!$F$8:$F$42)-MIN(ROW('03.Muestra'!$D$8:$D$42))+1,""),ROW()-1500)),"")</f>
        <v>https://elecciones.comunidad.madrid/es/informacion-util/simulacion-metodo-dhondt</v>
      </c>
      <c r="D1513" s="99" t="s">
        <v>174</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Ley D'Hondt</v>
      </c>
      <c r="C1514" s="85" t="str" cm="1">
        <f t="array" ref="C1514">IFERROR(INDEX('03.Muestra'!$F$8:$F$42,SMALL(IF("Página Web"='03.Muestra'!$D$8:$D$42,ROW('03.Muestra'!$F$8:$F$42)-MIN(ROW('03.Muestra'!$D$8:$D$42))+1,""),ROW()-1500)),"")</f>
        <v>https://elecciones.comunidad.madrid/es/resultados/ley_d_hondt</v>
      </c>
      <c r="D1514" s="99" t="s">
        <v>174</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Voto por correo elector CERA en España</v>
      </c>
      <c r="C1515" s="85" t="str" cm="1">
        <f t="array" ref="C1515">IFERROR(INDEX('03.Muestra'!$F$8:$F$42,SMALL(IF("Página Web"='03.Muestra'!$D$8:$D$42,ROW('03.Muestra'!$F$8:$F$42)-MIN(ROW('03.Muestra'!$D$8:$D$42))+1,""),ROW()-1500)),"")</f>
        <v>https://elecciones.comunidad.madrid/es/preguntas-frecuentes/voto-correo-electores-residentes-extranjero</v>
      </c>
      <c r="D1515" s="99" t="s">
        <v>174</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Contacto</v>
      </c>
      <c r="C1516" s="85" t="str" cm="1">
        <f t="array" ref="C1516">IFERROR(INDEX('03.Muestra'!$F$8:$F$42,SMALL(IF("Página Web"='03.Muestra'!$D$8:$D$42,ROW('03.Muestra'!$F$8:$F$42)-MIN(ROW('03.Muestra'!$D$8:$D$42))+1,""),ROW()-1500)),"")</f>
        <v>https://elecciones.comunidad.madrid/es/buzon-de-sugerencias</v>
      </c>
      <c r="D1516" s="99" t="s">
        <v>174</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Buscador</v>
      </c>
      <c r="C1517" s="85" t="str" cm="1">
        <f t="array" ref="C1517">IFERROR(INDEX('03.Muestra'!$F$8:$F$42,SMALL(IF("Página Web"='03.Muestra'!$D$8:$D$42,ROW('03.Muestra'!$F$8:$F$42)-MIN(ROW('03.Muestra'!$D$8:$D$42))+1,""),ROW()-1500)),"")</f>
        <v>https://elecciones.comunidad.madrid/es/search?search_api_fulltext=partido</v>
      </c>
      <c r="D1517" s="99" t="s">
        <v>174</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Aviso Legal-Privacidad</v>
      </c>
      <c r="C1518" s="85" t="str" cm="1">
        <f t="array" ref="C1518">IFERROR(INDEX('03.Muestra'!$F$8:$F$42,SMALL(IF("Página Web"='03.Muestra'!$D$8:$D$42,ROW('03.Muestra'!$F$8:$F$42)-MIN(ROW('03.Muestra'!$D$8:$D$42))+1,""),ROW()-1500)),"")</f>
        <v>https://elecciones.comunidad.madrid/es/aviso-legal</v>
      </c>
      <c r="D1518" s="99" t="s">
        <v>174</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Mapa Web</v>
      </c>
      <c r="C1519" s="85" t="str" cm="1">
        <f t="array" ref="C1519">IFERROR(INDEX('03.Muestra'!$F$8:$F$42,SMALL(IF("Página Web"='03.Muestra'!$D$8:$D$42,ROW('03.Muestra'!$F$8:$F$42)-MIN(ROW('03.Muestra'!$D$8:$D$42))+1,""),ROW()-1500)),"")</f>
        <v>https://elecciones.comunidad.madrid/es/sitemap</v>
      </c>
      <c r="D1519" s="99" t="s">
        <v>174</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Declaracion Accesibilidad</v>
      </c>
      <c r="C1520" s="85" t="str" cm="1">
        <f t="array" ref="C1520">IFERROR(INDEX('03.Muestra'!$F$8:$F$42,SMALL(IF("Página Web"='03.Muestra'!$D$8:$D$42,ROW('03.Muestra'!$F$8:$F$42)-MIN(ROW('03.Muestra'!$D$8:$D$42))+1,""),ROW()-1500)),"")</f>
        <v>https://elecciones.comunidad.madrid/es/accesibilidad</v>
      </c>
      <c r="D1520" s="99" t="s">
        <v>174</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ref="D1521:D1535" si="79">IF(AND(B1521&lt;&gt;"",C1521&lt;&gt;""),"N/T","")</f>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181</v>
      </c>
      <c r="B1538" s="23" t="s">
        <v>173</v>
      </c>
      <c r="C1538" s="24" t="s">
        <v>264</v>
      </c>
      <c r="D1538" s="25" t="s">
        <v>183</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https://elecciones.comunidad.madrid/es</v>
      </c>
      <c r="D1539" s="99" t="s">
        <v>176</v>
      </c>
      <c r="E1539" s="79" t="str">
        <f t="shared" ref="E1539:E1573" si="80">IF(D1539&lt;&gt;"",IF(AND(B1539&lt;&gt;"",C1539&lt;&gt;""),"","ERR"),"")</f>
        <v/>
      </c>
      <c r="F1539" s="86" t="s">
        <v>185</v>
      </c>
      <c r="G1539" s="87" t="s">
        <v>186</v>
      </c>
      <c r="H1539" s="88" t="s">
        <v>184</v>
      </c>
      <c r="I1539" s="89" t="s">
        <v>176</v>
      </c>
      <c r="J1539" s="90" t="s">
        <v>174</v>
      </c>
      <c r="K1539" s="179" t="s">
        <v>180</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Resultado Elecciones 28M 2023</v>
      </c>
      <c r="C1540" s="85" t="str" cm="1">
        <f t="array" ref="C1540">IFERROR(INDEX('03.Muestra'!$F$8:$F$42,SMALL(IF("Página Web"='03.Muestra'!$D$8:$D$42,ROW('03.Muestra'!$F$8:$F$42)-MIN(ROW('03.Muestra'!$D$8:$D$42))+1,""),ROW()-1538)),"")</f>
        <v>https://elecciones.comunidad.madrid/es/resultados-elecciones-asamblea-madrid-28m-2023</v>
      </c>
      <c r="D1540" s="99" t="s">
        <v>174</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6</v>
      </c>
      <c r="J1540" s="91">
        <f ca="1">COUNTIF($D1539:INDIRECT("$D" &amp;  SUM(ROW()-1,'03.Muestra'!$D$45)-1),J1539)</f>
        <v>14</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Normativa electoral</v>
      </c>
      <c r="C1541" s="85" t="str" cm="1">
        <f t="array" ref="C1541">IFERROR(INDEX('03.Muestra'!$F$8:$F$42,SMALL(IF("Página Web"='03.Muestra'!$D$8:$D$42,ROW('03.Muestra'!$F$8:$F$42)-MIN(ROW('03.Muestra'!$D$8:$D$42))+1,""),ROW()-1538)),"")</f>
        <v>https://elecciones.comunidad.madrid/es/informacion-electoral/normativa-electoral</v>
      </c>
      <c r="D1541" s="99" t="s">
        <v>174</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Calendario electoral</v>
      </c>
      <c r="C1542" s="85" t="str" cm="1">
        <f t="array" ref="C1542">IFERROR(INDEX('03.Muestra'!$F$8:$F$42,SMALL(IF("Página Web"='03.Muestra'!$D$8:$D$42,ROW('03.Muestra'!$F$8:$F$42)-MIN(ROW('03.Muestra'!$D$8:$D$42))+1,""),ROW()-1538)),"")</f>
        <v>https://elecciones.comunidad.madrid/es/informacion-electoral/calendario-electoral</v>
      </c>
      <c r="D1542" s="99" t="s">
        <v>174</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Direcciones y teléfonos</v>
      </c>
      <c r="C1543" s="85" t="str" cm="1">
        <f t="array" ref="C1543">IFERROR(INDEX('03.Muestra'!$F$8:$F$42,SMALL(IF("Página Web"='03.Muestra'!$D$8:$D$42,ROW('03.Muestra'!$F$8:$F$42)-MIN(ROW('03.Muestra'!$D$8:$D$42))+1,""),ROW()-1538)),"")</f>
        <v>https://elecciones.comunidad.madrid/es/juntas-electorales/direcciones-telefonos</v>
      </c>
      <c r="D1543" s="99" t="s">
        <v>174</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Impresos electrónicos</v>
      </c>
      <c r="C1544" s="85" t="str" cm="1">
        <f t="array" ref="C1544">IFERROR(INDEX('03.Muestra'!$F$8:$F$42,SMALL(IF("Página Web"='03.Muestra'!$D$8:$D$42,ROW('03.Muestra'!$F$8:$F$42)-MIN(ROW('03.Muestra'!$D$8:$D$42))+1,""),ROW()-1538)),"")</f>
        <v>https://elecciones.comunidad.madrid/es/formaciones-politicas/impresos-electronicos</v>
      </c>
      <c r="D1544" s="99" t="s">
        <v>174</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Listado de candidaturas</v>
      </c>
      <c r="C1545" s="85" t="str" cm="1">
        <f t="array" ref="C1545">IFERROR(INDEX('03.Muestra'!$F$8:$F$42,SMALL(IF("Página Web"='03.Muestra'!$D$8:$D$42,ROW('03.Muestra'!$F$8:$F$42)-MIN(ROW('03.Muestra'!$D$8:$D$42))+1,""),ROW()-1538)),"")</f>
        <v>https://elecciones.comunidad.madrid/es/formaciones-politicas/listado-candidaturas-proclamadas</v>
      </c>
      <c r="D1545" s="99" t="s">
        <v>174</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Partido Feminista de España</v>
      </c>
      <c r="C1546" s="85" t="str" cm="1">
        <f t="array" ref="C1546">IFERROR(INDEX('03.Muestra'!$F$8:$F$42,SMALL(IF("Página Web"='03.Muestra'!$D$8:$D$42,ROW('03.Muestra'!$F$8:$F$42)-MIN(ROW('03.Muestra'!$D$8:$D$42))+1,""),ROW()-1538)),"")</f>
        <v>https://elecciones.comunidad.madrid/es/formaciones-politicas/listado-candidaturas/partido-feminista-espana</v>
      </c>
      <c r="D1546" s="99" t="s">
        <v>174</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¿Dónde voto?</v>
      </c>
      <c r="C1547" s="85" t="str" cm="1">
        <f t="array" ref="C1547">IFERROR(INDEX('03.Muestra'!$F$8:$F$42,SMALL(IF("Página Web"='03.Muestra'!$D$8:$D$42,ROW('03.Muestra'!$F$8:$F$42)-MIN(ROW('03.Muestra'!$D$8:$D$42))+1,""),ROW()-1538)),"")</f>
        <v>https://elecciones.comunidad.madrid/es/votar/donde-voto</v>
      </c>
      <c r="D1547" s="99" t="s">
        <v>176</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Voto presencial</v>
      </c>
      <c r="C1548" s="85" t="str" cm="1">
        <f t="array" ref="C1548">IFERROR(INDEX('03.Muestra'!$F$8:$F$42,SMALL(IF("Página Web"='03.Muestra'!$D$8:$D$42,ROW('03.Muestra'!$F$8:$F$42)-MIN(ROW('03.Muestra'!$D$8:$D$42))+1,""),ROW()-1538)),"")</f>
        <v>https://elecciones.comunidad.madrid/es/voto-local-electoral/voto-presencial</v>
      </c>
      <c r="D1548" s="99" t="s">
        <v>174</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Ciudadanos temporalmente en el extranjero</v>
      </c>
      <c r="C1549" s="85" t="str" cm="1">
        <f t="array" ref="C1549">IFERROR(INDEX('03.Muestra'!$F$8:$F$42,SMALL(IF("Página Web"='03.Muestra'!$D$8:$D$42,ROW('03.Muestra'!$F$8:$F$42)-MIN(ROW('03.Muestra'!$D$8:$D$42))+1,""),ROW()-1538)),"")</f>
        <v>https://elecciones.comunidad.madrid/es/voto-correo/solicitud-voto-temporalmente-ausentes</v>
      </c>
      <c r="D1549" s="99" t="s">
        <v>176</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Nuevo votante</v>
      </c>
      <c r="C1550" s="85" t="str" cm="1">
        <f t="array" ref="C1550">IFERROR(INDEX('03.Muestra'!$F$8:$F$42,SMALL(IF("Página Web"='03.Muestra'!$D$8:$D$42,ROW('03.Muestra'!$F$8:$F$42)-MIN(ROW('03.Muestra'!$D$8:$D$42))+1,""),ROW()-1538)),"")</f>
        <v>https://elecciones.comunidad.madrid/es/votar/nuevo-votante</v>
      </c>
      <c r="D1550" s="99" t="s">
        <v>174</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Simulación método D'Hondt</v>
      </c>
      <c r="C1551" s="85" t="str" cm="1">
        <f t="array" ref="C1551">IFERROR(INDEX('03.Muestra'!$F$8:$F$42,SMALL(IF("Página Web"='03.Muestra'!$D$8:$D$42,ROW('03.Muestra'!$F$8:$F$42)-MIN(ROW('03.Muestra'!$D$8:$D$42))+1,""),ROW()-1538)),"")</f>
        <v>https://elecciones.comunidad.madrid/es/informacion-util/simulacion-metodo-dhondt</v>
      </c>
      <c r="D1551" s="99" t="s">
        <v>174</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Ley D'Hondt</v>
      </c>
      <c r="C1552" s="85" t="str" cm="1">
        <f t="array" ref="C1552">IFERROR(INDEX('03.Muestra'!$F$8:$F$42,SMALL(IF("Página Web"='03.Muestra'!$D$8:$D$42,ROW('03.Muestra'!$F$8:$F$42)-MIN(ROW('03.Muestra'!$D$8:$D$42))+1,""),ROW()-1538)),"")</f>
        <v>https://elecciones.comunidad.madrid/es/resultados/ley_d_hondt</v>
      </c>
      <c r="D1552" s="99" t="s">
        <v>176</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Voto por correo elector CERA en España</v>
      </c>
      <c r="C1553" s="85" t="str" cm="1">
        <f t="array" ref="C1553">IFERROR(INDEX('03.Muestra'!$F$8:$F$42,SMALL(IF("Página Web"='03.Muestra'!$D$8:$D$42,ROW('03.Muestra'!$F$8:$F$42)-MIN(ROW('03.Muestra'!$D$8:$D$42))+1,""),ROW()-1538)),"")</f>
        <v>https://elecciones.comunidad.madrid/es/preguntas-frecuentes/voto-correo-electores-residentes-extranjero</v>
      </c>
      <c r="D1553" s="99" t="s">
        <v>176</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Contacto</v>
      </c>
      <c r="C1554" s="85" t="str" cm="1">
        <f t="array" ref="C1554">IFERROR(INDEX('03.Muestra'!$F$8:$F$42,SMALL(IF("Página Web"='03.Muestra'!$D$8:$D$42,ROW('03.Muestra'!$F$8:$F$42)-MIN(ROW('03.Muestra'!$D$8:$D$42))+1,""),ROW()-1538)),"")</f>
        <v>https://elecciones.comunidad.madrid/es/buzon-de-sugerencias</v>
      </c>
      <c r="D1554" s="99" t="s">
        <v>176</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Buscador</v>
      </c>
      <c r="C1555" s="85" t="str" cm="1">
        <f t="array" ref="C1555">IFERROR(INDEX('03.Muestra'!$F$8:$F$42,SMALL(IF("Página Web"='03.Muestra'!$D$8:$D$42,ROW('03.Muestra'!$F$8:$F$42)-MIN(ROW('03.Muestra'!$D$8:$D$42))+1,""),ROW()-1538)),"")</f>
        <v>https://elecciones.comunidad.madrid/es/search?search_api_fulltext=partido</v>
      </c>
      <c r="D1555" s="99" t="s">
        <v>174</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Aviso Legal-Privacidad</v>
      </c>
      <c r="C1556" s="85" t="str" cm="1">
        <f t="array" ref="C1556">IFERROR(INDEX('03.Muestra'!$F$8:$F$42,SMALL(IF("Página Web"='03.Muestra'!$D$8:$D$42,ROW('03.Muestra'!$F$8:$F$42)-MIN(ROW('03.Muestra'!$D$8:$D$42))+1,""),ROW()-1538)),"")</f>
        <v>https://elecciones.comunidad.madrid/es/aviso-legal</v>
      </c>
      <c r="D1556" s="99" t="s">
        <v>174</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Mapa Web</v>
      </c>
      <c r="C1557" s="85" t="str" cm="1">
        <f t="array" ref="C1557">IFERROR(INDEX('03.Muestra'!$F$8:$F$42,SMALL(IF("Página Web"='03.Muestra'!$D$8:$D$42,ROW('03.Muestra'!$F$8:$F$42)-MIN(ROW('03.Muestra'!$D$8:$D$42))+1,""),ROW()-1538)),"")</f>
        <v>https://elecciones.comunidad.madrid/es/sitemap</v>
      </c>
      <c r="D1557" s="99" t="s">
        <v>174</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Declaracion Accesibilidad</v>
      </c>
      <c r="C1558" s="85" t="str" cm="1">
        <f t="array" ref="C1558">IFERROR(INDEX('03.Muestra'!$F$8:$F$42,SMALL(IF("Página Web"='03.Muestra'!$D$8:$D$42,ROW('03.Muestra'!$F$8:$F$42)-MIN(ROW('03.Muestra'!$D$8:$D$42))+1,""),ROW()-1538)),"")</f>
        <v>https://elecciones.comunidad.madrid/es/accesibilidad</v>
      </c>
      <c r="D1558" s="99" t="s">
        <v>174</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ref="D1559:D1573" si="81">IF(AND(B1559&lt;&gt;"",C1559&lt;&gt;""),"N/T","")</f>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181</v>
      </c>
      <c r="B1576" s="23" t="s">
        <v>173</v>
      </c>
      <c r="C1576" s="24" t="s">
        <v>265</v>
      </c>
      <c r="D1576" s="25" t="s">
        <v>183</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https://elecciones.comunidad.madrid/es</v>
      </c>
      <c r="D1577" s="99" t="s">
        <v>174</v>
      </c>
      <c r="E1577" s="79" t="str">
        <f t="shared" ref="E1577:E1611" si="82">IF(D1577&lt;&gt;"",IF(AND(B1577&lt;&gt;"",C1577&lt;&gt;""),"","ERR"),"")</f>
        <v/>
      </c>
      <c r="F1577" s="86" t="s">
        <v>185</v>
      </c>
      <c r="G1577" s="87" t="s">
        <v>186</v>
      </c>
      <c r="H1577" s="88" t="s">
        <v>184</v>
      </c>
      <c r="I1577" s="89" t="s">
        <v>176</v>
      </c>
      <c r="J1577" s="90" t="s">
        <v>174</v>
      </c>
      <c r="K1577" s="179" t="s">
        <v>180</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Resultado Elecciones 28M 2023</v>
      </c>
      <c r="C1578" s="85" t="str" cm="1">
        <f t="array" ref="C1578">IFERROR(INDEX('03.Muestra'!$F$8:$F$42,SMALL(IF("Página Web"='03.Muestra'!$D$8:$D$42,ROW('03.Muestra'!$F$8:$F$42)-MIN(ROW('03.Muestra'!$D$8:$D$42))+1,""),ROW()-1576)),"")</f>
        <v>https://elecciones.comunidad.madrid/es/resultados-elecciones-asamblea-madrid-28m-2023</v>
      </c>
      <c r="D1578" s="99" t="s">
        <v>174</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20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Normativa electoral</v>
      </c>
      <c r="C1579" s="85" t="str" cm="1">
        <f t="array" ref="C1579">IFERROR(INDEX('03.Muestra'!$F$8:$F$42,SMALL(IF("Página Web"='03.Muestra'!$D$8:$D$42,ROW('03.Muestra'!$F$8:$F$42)-MIN(ROW('03.Muestra'!$D$8:$D$42))+1,""),ROW()-1576)),"")</f>
        <v>https://elecciones.comunidad.madrid/es/informacion-electoral/normativa-electoral</v>
      </c>
      <c r="D1579" s="99" t="s">
        <v>174</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Calendario electoral</v>
      </c>
      <c r="C1580" s="85" t="str" cm="1">
        <f t="array" ref="C1580">IFERROR(INDEX('03.Muestra'!$F$8:$F$42,SMALL(IF("Página Web"='03.Muestra'!$D$8:$D$42,ROW('03.Muestra'!$F$8:$F$42)-MIN(ROW('03.Muestra'!$D$8:$D$42))+1,""),ROW()-1576)),"")</f>
        <v>https://elecciones.comunidad.madrid/es/informacion-electoral/calendario-electoral</v>
      </c>
      <c r="D1580" s="99" t="s">
        <v>174</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Direcciones y teléfonos</v>
      </c>
      <c r="C1581" s="85" t="str" cm="1">
        <f t="array" ref="C1581">IFERROR(INDEX('03.Muestra'!$F$8:$F$42,SMALL(IF("Página Web"='03.Muestra'!$D$8:$D$42,ROW('03.Muestra'!$F$8:$F$42)-MIN(ROW('03.Muestra'!$D$8:$D$42))+1,""),ROW()-1576)),"")</f>
        <v>https://elecciones.comunidad.madrid/es/juntas-electorales/direcciones-telefonos</v>
      </c>
      <c r="D1581" s="99" t="s">
        <v>174</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Impresos electrónicos</v>
      </c>
      <c r="C1582" s="85" t="str" cm="1">
        <f t="array" ref="C1582">IFERROR(INDEX('03.Muestra'!$F$8:$F$42,SMALL(IF("Página Web"='03.Muestra'!$D$8:$D$42,ROW('03.Muestra'!$F$8:$F$42)-MIN(ROW('03.Muestra'!$D$8:$D$42))+1,""),ROW()-1576)),"")</f>
        <v>https://elecciones.comunidad.madrid/es/formaciones-politicas/impresos-electronicos</v>
      </c>
      <c r="D1582" s="99" t="s">
        <v>174</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Listado de candidaturas</v>
      </c>
      <c r="C1583" s="85" t="str" cm="1">
        <f t="array" ref="C1583">IFERROR(INDEX('03.Muestra'!$F$8:$F$42,SMALL(IF("Página Web"='03.Muestra'!$D$8:$D$42,ROW('03.Muestra'!$F$8:$F$42)-MIN(ROW('03.Muestra'!$D$8:$D$42))+1,""),ROW()-1576)),"")</f>
        <v>https://elecciones.comunidad.madrid/es/formaciones-politicas/listado-candidaturas-proclamadas</v>
      </c>
      <c r="D1583" s="99" t="s">
        <v>174</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Partido Feminista de España</v>
      </c>
      <c r="C1584" s="85" t="str" cm="1">
        <f t="array" ref="C1584">IFERROR(INDEX('03.Muestra'!$F$8:$F$42,SMALL(IF("Página Web"='03.Muestra'!$D$8:$D$42,ROW('03.Muestra'!$F$8:$F$42)-MIN(ROW('03.Muestra'!$D$8:$D$42))+1,""),ROW()-1576)),"")</f>
        <v>https://elecciones.comunidad.madrid/es/formaciones-politicas/listado-candidaturas/partido-feminista-espana</v>
      </c>
      <c r="D1584" s="99" t="s">
        <v>174</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¿Dónde voto?</v>
      </c>
      <c r="C1585" s="85" t="str" cm="1">
        <f t="array" ref="C1585">IFERROR(INDEX('03.Muestra'!$F$8:$F$42,SMALL(IF("Página Web"='03.Muestra'!$D$8:$D$42,ROW('03.Muestra'!$F$8:$F$42)-MIN(ROW('03.Muestra'!$D$8:$D$42))+1,""),ROW()-1576)),"")</f>
        <v>https://elecciones.comunidad.madrid/es/votar/donde-voto</v>
      </c>
      <c r="D1585" s="99" t="s">
        <v>174</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Voto presencial</v>
      </c>
      <c r="C1586" s="85" t="str" cm="1">
        <f t="array" ref="C1586">IFERROR(INDEX('03.Muestra'!$F$8:$F$42,SMALL(IF("Página Web"='03.Muestra'!$D$8:$D$42,ROW('03.Muestra'!$F$8:$F$42)-MIN(ROW('03.Muestra'!$D$8:$D$42))+1,""),ROW()-1576)),"")</f>
        <v>https://elecciones.comunidad.madrid/es/voto-local-electoral/voto-presencial</v>
      </c>
      <c r="D1586" s="99" t="s">
        <v>174</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Ciudadanos temporalmente en el extranjero</v>
      </c>
      <c r="C1587" s="85" t="str" cm="1">
        <f t="array" ref="C1587">IFERROR(INDEX('03.Muestra'!$F$8:$F$42,SMALL(IF("Página Web"='03.Muestra'!$D$8:$D$42,ROW('03.Muestra'!$F$8:$F$42)-MIN(ROW('03.Muestra'!$D$8:$D$42))+1,""),ROW()-1576)),"")</f>
        <v>https://elecciones.comunidad.madrid/es/voto-correo/solicitud-voto-temporalmente-ausentes</v>
      </c>
      <c r="D1587" s="99" t="s">
        <v>174</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Nuevo votante</v>
      </c>
      <c r="C1588" s="85" t="str" cm="1">
        <f t="array" ref="C1588">IFERROR(INDEX('03.Muestra'!$F$8:$F$42,SMALL(IF("Página Web"='03.Muestra'!$D$8:$D$42,ROW('03.Muestra'!$F$8:$F$42)-MIN(ROW('03.Muestra'!$D$8:$D$42))+1,""),ROW()-1576)),"")</f>
        <v>https://elecciones.comunidad.madrid/es/votar/nuevo-votante</v>
      </c>
      <c r="D1588" s="99" t="s">
        <v>174</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Simulación método D'Hondt</v>
      </c>
      <c r="C1589" s="85" t="str" cm="1">
        <f t="array" ref="C1589">IFERROR(INDEX('03.Muestra'!$F$8:$F$42,SMALL(IF("Página Web"='03.Muestra'!$D$8:$D$42,ROW('03.Muestra'!$F$8:$F$42)-MIN(ROW('03.Muestra'!$D$8:$D$42))+1,""),ROW()-1576)),"")</f>
        <v>https://elecciones.comunidad.madrid/es/informacion-util/simulacion-metodo-dhondt</v>
      </c>
      <c r="D1589" s="99" t="s">
        <v>174</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Ley D'Hondt</v>
      </c>
      <c r="C1590" s="85" t="str" cm="1">
        <f t="array" ref="C1590">IFERROR(INDEX('03.Muestra'!$F$8:$F$42,SMALL(IF("Página Web"='03.Muestra'!$D$8:$D$42,ROW('03.Muestra'!$F$8:$F$42)-MIN(ROW('03.Muestra'!$D$8:$D$42))+1,""),ROW()-1576)),"")</f>
        <v>https://elecciones.comunidad.madrid/es/resultados/ley_d_hondt</v>
      </c>
      <c r="D1590" s="99" t="s">
        <v>174</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Voto por correo elector CERA en España</v>
      </c>
      <c r="C1591" s="85" t="str" cm="1">
        <f t="array" ref="C1591">IFERROR(INDEX('03.Muestra'!$F$8:$F$42,SMALL(IF("Página Web"='03.Muestra'!$D$8:$D$42,ROW('03.Muestra'!$F$8:$F$42)-MIN(ROW('03.Muestra'!$D$8:$D$42))+1,""),ROW()-1576)),"")</f>
        <v>https://elecciones.comunidad.madrid/es/preguntas-frecuentes/voto-correo-electores-residentes-extranjero</v>
      </c>
      <c r="D1591" s="99" t="s">
        <v>174</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Contacto</v>
      </c>
      <c r="C1592" s="85" t="str" cm="1">
        <f t="array" ref="C1592">IFERROR(INDEX('03.Muestra'!$F$8:$F$42,SMALL(IF("Página Web"='03.Muestra'!$D$8:$D$42,ROW('03.Muestra'!$F$8:$F$42)-MIN(ROW('03.Muestra'!$D$8:$D$42))+1,""),ROW()-1576)),"")</f>
        <v>https://elecciones.comunidad.madrid/es/buzon-de-sugerencias</v>
      </c>
      <c r="D1592" s="99" t="s">
        <v>174</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Buscador</v>
      </c>
      <c r="C1593" s="85" t="str" cm="1">
        <f t="array" ref="C1593">IFERROR(INDEX('03.Muestra'!$F$8:$F$42,SMALL(IF("Página Web"='03.Muestra'!$D$8:$D$42,ROW('03.Muestra'!$F$8:$F$42)-MIN(ROW('03.Muestra'!$D$8:$D$42))+1,""),ROW()-1576)),"")</f>
        <v>https://elecciones.comunidad.madrid/es/search?search_api_fulltext=partido</v>
      </c>
      <c r="D1593" s="99" t="s">
        <v>174</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Aviso Legal-Privacidad</v>
      </c>
      <c r="C1594" s="85" t="str" cm="1">
        <f t="array" ref="C1594">IFERROR(INDEX('03.Muestra'!$F$8:$F$42,SMALL(IF("Página Web"='03.Muestra'!$D$8:$D$42,ROW('03.Muestra'!$F$8:$F$42)-MIN(ROW('03.Muestra'!$D$8:$D$42))+1,""),ROW()-1576)),"")</f>
        <v>https://elecciones.comunidad.madrid/es/aviso-legal</v>
      </c>
      <c r="D1594" s="99" t="s">
        <v>174</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Mapa Web</v>
      </c>
      <c r="C1595" s="85" t="str" cm="1">
        <f t="array" ref="C1595">IFERROR(INDEX('03.Muestra'!$F$8:$F$42,SMALL(IF("Página Web"='03.Muestra'!$D$8:$D$42,ROW('03.Muestra'!$F$8:$F$42)-MIN(ROW('03.Muestra'!$D$8:$D$42))+1,""),ROW()-1576)),"")</f>
        <v>https://elecciones.comunidad.madrid/es/sitemap</v>
      </c>
      <c r="D1595" s="99" t="s">
        <v>174</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Declaracion Accesibilidad</v>
      </c>
      <c r="C1596" s="85" t="str" cm="1">
        <f t="array" ref="C1596">IFERROR(INDEX('03.Muestra'!$F$8:$F$42,SMALL(IF("Página Web"='03.Muestra'!$D$8:$D$42,ROW('03.Muestra'!$F$8:$F$42)-MIN(ROW('03.Muestra'!$D$8:$D$42))+1,""),ROW()-1576)),"")</f>
        <v>https://elecciones.comunidad.madrid/es/accesibilidad</v>
      </c>
      <c r="D1596" s="99" t="s">
        <v>174</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ref="D1597:D1611" si="83">IF(AND(B1597&lt;&gt;"",C1597&lt;&gt;""),"N/T","")</f>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181</v>
      </c>
      <c r="B1614" s="23" t="s">
        <v>173</v>
      </c>
      <c r="C1614" s="24" t="s">
        <v>266</v>
      </c>
      <c r="D1614" s="25" t="s">
        <v>183</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https://elecciones.comunidad.madrid/es</v>
      </c>
      <c r="D1615" s="99" t="s">
        <v>184</v>
      </c>
      <c r="E1615" s="79" t="str">
        <f t="shared" ref="E1615:E1649" si="84">IF(D1615&lt;&gt;"",IF(AND(B1615&lt;&gt;"",C1615&lt;&gt;""),"","ERR"),"")</f>
        <v/>
      </c>
      <c r="F1615" s="86" t="s">
        <v>185</v>
      </c>
      <c r="G1615" s="87" t="s">
        <v>186</v>
      </c>
      <c r="H1615" s="88" t="s">
        <v>184</v>
      </c>
      <c r="I1615" s="89" t="s">
        <v>176</v>
      </c>
      <c r="J1615" s="90" t="s">
        <v>174</v>
      </c>
      <c r="K1615" s="179" t="s">
        <v>180</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Resultado Elecciones 28M 2023</v>
      </c>
      <c r="C1616" s="85" t="str" cm="1">
        <f t="array" ref="C1616">IFERROR(INDEX('03.Muestra'!$F$8:$F$42,SMALL(IF("Página Web"='03.Muestra'!$D$8:$D$42,ROW('03.Muestra'!$F$8:$F$42)-MIN(ROW('03.Muestra'!$D$8:$D$42))+1,""),ROW()-1614)),"")</f>
        <v>https://elecciones.comunidad.madrid/es/resultados-elecciones-asamblea-madrid-28m-2023</v>
      </c>
      <c r="D1616" s="99" t="s">
        <v>184</v>
      </c>
      <c r="E1616" s="79" t="str">
        <f t="shared" si="84"/>
        <v/>
      </c>
      <c r="F1616" s="91">
        <f ca="1">COUNTIF($D1615:INDIRECT("$D" &amp;  SUM(ROW()-1,'03.Muestra'!$D$45)-1),F1615)</f>
        <v>0</v>
      </c>
      <c r="G1616" s="91">
        <f ca="1">COUNTIF($D1615:INDIRECT("$D" &amp;  SUM(ROW()-1,'03.Muestra'!$D$45)-1),G1615)</f>
        <v>0</v>
      </c>
      <c r="H1616" s="91">
        <f ca="1">COUNTIF($D1615:INDIRECT("$D" &amp;  SUM(ROW()-1,'03.Muestra'!$D$45)-1),H1615)</f>
        <v>19</v>
      </c>
      <c r="I1616" s="91">
        <f ca="1">COUNTIF($D1615:INDIRECT("$D" &amp;  SUM(ROW()-1,'03.Muestra'!$D$45)-1),I1615)</f>
        <v>0</v>
      </c>
      <c r="J1616" s="91">
        <f ca="1">COUNTIF($D1615:INDIRECT("$D" &amp;  SUM(ROW()-1,'03.Muestra'!$D$45)-1),J1615)</f>
        <v>1</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Normativa electoral</v>
      </c>
      <c r="C1617" s="85" t="str" cm="1">
        <f t="array" ref="C1617">IFERROR(INDEX('03.Muestra'!$F$8:$F$42,SMALL(IF("Página Web"='03.Muestra'!$D$8:$D$42,ROW('03.Muestra'!$F$8:$F$42)-MIN(ROW('03.Muestra'!$D$8:$D$42))+1,""),ROW()-1614)),"")</f>
        <v>https://elecciones.comunidad.madrid/es/informacion-electoral/normativa-electoral</v>
      </c>
      <c r="D1617" s="99" t="s">
        <v>184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Calendario electoral</v>
      </c>
      <c r="C1618" s="85" t="str" cm="1">
        <f t="array" ref="C1618">IFERROR(INDEX('03.Muestra'!$F$8:$F$42,SMALL(IF("Página Web"='03.Muestra'!$D$8:$D$42,ROW('03.Muestra'!$F$8:$F$42)-MIN(ROW('03.Muestra'!$D$8:$D$42))+1,""),ROW()-1614)),"")</f>
        <v>https://elecciones.comunidad.madrid/es/informacion-electoral/calendario-electoral</v>
      </c>
      <c r="D1618" s="99" t="s">
        <v>184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Direcciones y teléfonos</v>
      </c>
      <c r="C1619" s="85" t="str" cm="1">
        <f t="array" ref="C1619">IFERROR(INDEX('03.Muestra'!$F$8:$F$42,SMALL(IF("Página Web"='03.Muestra'!$D$8:$D$42,ROW('03.Muestra'!$F$8:$F$42)-MIN(ROW('03.Muestra'!$D$8:$D$42))+1,""),ROW()-1614)),"")</f>
        <v>https://elecciones.comunidad.madrid/es/juntas-electorales/direcciones-telefonos</v>
      </c>
      <c r="D1619" s="99" t="s">
        <v>184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Impresos electrónicos</v>
      </c>
      <c r="C1620" s="85" t="str" cm="1">
        <f t="array" ref="C1620">IFERROR(INDEX('03.Muestra'!$F$8:$F$42,SMALL(IF("Página Web"='03.Muestra'!$D$8:$D$42,ROW('03.Muestra'!$F$8:$F$42)-MIN(ROW('03.Muestra'!$D$8:$D$42))+1,""),ROW()-1614)),"")</f>
        <v>https://elecciones.comunidad.madrid/es/formaciones-politicas/impresos-electronicos</v>
      </c>
      <c r="D1620" s="99" t="s">
        <v>184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Listado de candidaturas</v>
      </c>
      <c r="C1621" s="85" t="str" cm="1">
        <f t="array" ref="C1621">IFERROR(INDEX('03.Muestra'!$F$8:$F$42,SMALL(IF("Página Web"='03.Muestra'!$D$8:$D$42,ROW('03.Muestra'!$F$8:$F$42)-MIN(ROW('03.Muestra'!$D$8:$D$42))+1,""),ROW()-1614)),"")</f>
        <v>https://elecciones.comunidad.madrid/es/formaciones-politicas/listado-candidaturas-proclamadas</v>
      </c>
      <c r="D1621" s="99" t="s">
        <v>184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Partido Feminista de España</v>
      </c>
      <c r="C1622" s="85" t="str" cm="1">
        <f t="array" ref="C1622">IFERROR(INDEX('03.Muestra'!$F$8:$F$42,SMALL(IF("Página Web"='03.Muestra'!$D$8:$D$42,ROW('03.Muestra'!$F$8:$F$42)-MIN(ROW('03.Muestra'!$D$8:$D$42))+1,""),ROW()-1614)),"")</f>
        <v>https://elecciones.comunidad.madrid/es/formaciones-politicas/listado-candidaturas/partido-feminista-espana</v>
      </c>
      <c r="D1622" s="99" t="s">
        <v>184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¿Dónde voto?</v>
      </c>
      <c r="C1623" s="85" t="str" cm="1">
        <f t="array" ref="C1623">IFERROR(INDEX('03.Muestra'!$F$8:$F$42,SMALL(IF("Página Web"='03.Muestra'!$D$8:$D$42,ROW('03.Muestra'!$F$8:$F$42)-MIN(ROW('03.Muestra'!$D$8:$D$42))+1,""),ROW()-1614)),"")</f>
        <v>https://elecciones.comunidad.madrid/es/votar/donde-voto</v>
      </c>
      <c r="D1623" s="99" t="s">
        <v>184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Voto presencial</v>
      </c>
      <c r="C1624" s="85" t="str" cm="1">
        <f t="array" ref="C1624">IFERROR(INDEX('03.Muestra'!$F$8:$F$42,SMALL(IF("Página Web"='03.Muestra'!$D$8:$D$42,ROW('03.Muestra'!$F$8:$F$42)-MIN(ROW('03.Muestra'!$D$8:$D$42))+1,""),ROW()-1614)),"")</f>
        <v>https://elecciones.comunidad.madrid/es/voto-local-electoral/voto-presencial</v>
      </c>
      <c r="D1624" s="99" t="s">
        <v>184</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Ciudadanos temporalmente en el extranjero</v>
      </c>
      <c r="C1625" s="85" t="str" cm="1">
        <f t="array" ref="C1625">IFERROR(INDEX('03.Muestra'!$F$8:$F$42,SMALL(IF("Página Web"='03.Muestra'!$D$8:$D$42,ROW('03.Muestra'!$F$8:$F$42)-MIN(ROW('03.Muestra'!$D$8:$D$42))+1,""),ROW()-1614)),"")</f>
        <v>https://elecciones.comunidad.madrid/es/voto-correo/solicitud-voto-temporalmente-ausentes</v>
      </c>
      <c r="D1625" s="99" t="s">
        <v>184</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Nuevo votante</v>
      </c>
      <c r="C1626" s="85" t="str" cm="1">
        <f t="array" ref="C1626">IFERROR(INDEX('03.Muestra'!$F$8:$F$42,SMALL(IF("Página Web"='03.Muestra'!$D$8:$D$42,ROW('03.Muestra'!$F$8:$F$42)-MIN(ROW('03.Muestra'!$D$8:$D$42))+1,""),ROW()-1614)),"")</f>
        <v>https://elecciones.comunidad.madrid/es/votar/nuevo-votante</v>
      </c>
      <c r="D1626" s="99" t="s">
        <v>184</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Simulación método D'Hondt</v>
      </c>
      <c r="C1627" s="85" t="str" cm="1">
        <f t="array" ref="C1627">IFERROR(INDEX('03.Muestra'!$F$8:$F$42,SMALL(IF("Página Web"='03.Muestra'!$D$8:$D$42,ROW('03.Muestra'!$F$8:$F$42)-MIN(ROW('03.Muestra'!$D$8:$D$42))+1,""),ROW()-1614)),"")</f>
        <v>https://elecciones.comunidad.madrid/es/informacion-util/simulacion-metodo-dhondt</v>
      </c>
      <c r="D1627" s="99" t="s">
        <v>184</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Ley D'Hondt</v>
      </c>
      <c r="C1628" s="85" t="str" cm="1">
        <f t="array" ref="C1628">IFERROR(INDEX('03.Muestra'!$F$8:$F$42,SMALL(IF("Página Web"='03.Muestra'!$D$8:$D$42,ROW('03.Muestra'!$F$8:$F$42)-MIN(ROW('03.Muestra'!$D$8:$D$42))+1,""),ROW()-1614)),"")</f>
        <v>https://elecciones.comunidad.madrid/es/resultados/ley_d_hondt</v>
      </c>
      <c r="D1628" s="99" t="s">
        <v>184</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Voto por correo elector CERA en España</v>
      </c>
      <c r="C1629" s="85" t="str" cm="1">
        <f t="array" ref="C1629">IFERROR(INDEX('03.Muestra'!$F$8:$F$42,SMALL(IF("Página Web"='03.Muestra'!$D$8:$D$42,ROW('03.Muestra'!$F$8:$F$42)-MIN(ROW('03.Muestra'!$D$8:$D$42))+1,""),ROW()-1614)),"")</f>
        <v>https://elecciones.comunidad.madrid/es/preguntas-frecuentes/voto-correo-electores-residentes-extranjero</v>
      </c>
      <c r="D1629" s="99" t="s">
        <v>184</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Contacto</v>
      </c>
      <c r="C1630" s="85" t="str" cm="1">
        <f t="array" ref="C1630">IFERROR(INDEX('03.Muestra'!$F$8:$F$42,SMALL(IF("Página Web"='03.Muestra'!$D$8:$D$42,ROW('03.Muestra'!$F$8:$F$42)-MIN(ROW('03.Muestra'!$D$8:$D$42))+1,""),ROW()-1614)),"")</f>
        <v>https://elecciones.comunidad.madrid/es/buzon-de-sugerencias</v>
      </c>
      <c r="D1630" s="99" t="s">
        <v>174</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Buscador</v>
      </c>
      <c r="C1631" s="85" t="str" cm="1">
        <f t="array" ref="C1631">IFERROR(INDEX('03.Muestra'!$F$8:$F$42,SMALL(IF("Página Web"='03.Muestra'!$D$8:$D$42,ROW('03.Muestra'!$F$8:$F$42)-MIN(ROW('03.Muestra'!$D$8:$D$42))+1,""),ROW()-1614)),"")</f>
        <v>https://elecciones.comunidad.madrid/es/search?search_api_fulltext=partido</v>
      </c>
      <c r="D1631" s="99" t="s">
        <v>184</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Aviso Legal-Privacidad</v>
      </c>
      <c r="C1632" s="85" t="str" cm="1">
        <f t="array" ref="C1632">IFERROR(INDEX('03.Muestra'!$F$8:$F$42,SMALL(IF("Página Web"='03.Muestra'!$D$8:$D$42,ROW('03.Muestra'!$F$8:$F$42)-MIN(ROW('03.Muestra'!$D$8:$D$42))+1,""),ROW()-1614)),"")</f>
        <v>https://elecciones.comunidad.madrid/es/aviso-legal</v>
      </c>
      <c r="D1632" s="99" t="s">
        <v>184</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Mapa Web</v>
      </c>
      <c r="C1633" s="85" t="str" cm="1">
        <f t="array" ref="C1633">IFERROR(INDEX('03.Muestra'!$F$8:$F$42,SMALL(IF("Página Web"='03.Muestra'!$D$8:$D$42,ROW('03.Muestra'!$F$8:$F$42)-MIN(ROW('03.Muestra'!$D$8:$D$42))+1,""),ROW()-1614)),"")</f>
        <v>https://elecciones.comunidad.madrid/es/sitemap</v>
      </c>
      <c r="D1633" s="99" t="s">
        <v>184</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Declaracion Accesibilidad</v>
      </c>
      <c r="C1634" s="85" t="str" cm="1">
        <f t="array" ref="C1634">IFERROR(INDEX('03.Muestra'!$F$8:$F$42,SMALL(IF("Página Web"='03.Muestra'!$D$8:$D$42,ROW('03.Muestra'!$F$8:$F$42)-MIN(ROW('03.Muestra'!$D$8:$D$42))+1,""),ROW()-1614)),"")</f>
        <v>https://elecciones.comunidad.madrid/es/accesibilidad</v>
      </c>
      <c r="D1634" s="99" t="s">
        <v>184</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ref="D1635:D1649" si="85">IF(AND(B1635&lt;&gt;"",C1635&lt;&gt;""),"N/T","")</f>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181</v>
      </c>
      <c r="B1652" s="23" t="s">
        <v>173</v>
      </c>
      <c r="C1652" s="24" t="s">
        <v>267</v>
      </c>
      <c r="D1652" s="25" t="s">
        <v>183</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https://elecciones.comunidad.madrid/es</v>
      </c>
      <c r="D1653" s="99" t="s">
        <v>174</v>
      </c>
      <c r="E1653" s="79" t="str">
        <f t="shared" ref="E1653:E1687" si="86">IF(D1653&lt;&gt;"",IF(AND(B1653&lt;&gt;"",C1653&lt;&gt;""),"","ERR"),"")</f>
        <v/>
      </c>
      <c r="F1653" s="86" t="s">
        <v>185</v>
      </c>
      <c r="G1653" s="87" t="s">
        <v>186</v>
      </c>
      <c r="H1653" s="88" t="s">
        <v>184</v>
      </c>
      <c r="I1653" s="89" t="s">
        <v>176</v>
      </c>
      <c r="J1653" s="90" t="s">
        <v>174</v>
      </c>
      <c r="K1653" s="179" t="s">
        <v>180</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Resultado Elecciones 28M 2023</v>
      </c>
      <c r="C1654" s="85" t="str" cm="1">
        <f t="array" ref="C1654">IFERROR(INDEX('03.Muestra'!$F$8:$F$42,SMALL(IF("Página Web"='03.Muestra'!$D$8:$D$42,ROW('03.Muestra'!$F$8:$F$42)-MIN(ROW('03.Muestra'!$D$8:$D$42))+1,""),ROW()-1652)),"")</f>
        <v>https://elecciones.comunidad.madrid/es/resultados-elecciones-asamblea-madrid-28m-2023</v>
      </c>
      <c r="D1654" s="99" t="s">
        <v>174</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2</v>
      </c>
      <c r="J1654" s="91">
        <f ca="1">COUNTIF($D1653:INDIRECT("$D" &amp;  SUM(ROW()-1,'03.Muestra'!$D$45)-1),J1653)</f>
        <v>18</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Normativa electoral</v>
      </c>
      <c r="C1655" s="85" t="str" cm="1">
        <f t="array" ref="C1655">IFERROR(INDEX('03.Muestra'!$F$8:$F$42,SMALL(IF("Página Web"='03.Muestra'!$D$8:$D$42,ROW('03.Muestra'!$F$8:$F$42)-MIN(ROW('03.Muestra'!$D$8:$D$42))+1,""),ROW()-1652)),"")</f>
        <v>https://elecciones.comunidad.madrid/es/informacion-electoral/normativa-electoral</v>
      </c>
      <c r="D1655" s="99" t="s">
        <v>174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Calendario electoral</v>
      </c>
      <c r="C1656" s="85" t="str" cm="1">
        <f t="array" ref="C1656">IFERROR(INDEX('03.Muestra'!$F$8:$F$42,SMALL(IF("Página Web"='03.Muestra'!$D$8:$D$42,ROW('03.Muestra'!$F$8:$F$42)-MIN(ROW('03.Muestra'!$D$8:$D$42))+1,""),ROW()-1652)),"")</f>
        <v>https://elecciones.comunidad.madrid/es/informacion-electoral/calendario-electoral</v>
      </c>
      <c r="D1656" s="99" t="s">
        <v>174</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Direcciones y teléfonos</v>
      </c>
      <c r="C1657" s="85" t="str" cm="1">
        <f t="array" ref="C1657">IFERROR(INDEX('03.Muestra'!$F$8:$F$42,SMALL(IF("Página Web"='03.Muestra'!$D$8:$D$42,ROW('03.Muestra'!$F$8:$F$42)-MIN(ROW('03.Muestra'!$D$8:$D$42))+1,""),ROW()-1652)),"")</f>
        <v>https://elecciones.comunidad.madrid/es/juntas-electorales/direcciones-telefonos</v>
      </c>
      <c r="D1657" s="99" t="s">
        <v>174</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Impresos electrónicos</v>
      </c>
      <c r="C1658" s="85" t="str" cm="1">
        <f t="array" ref="C1658">IFERROR(INDEX('03.Muestra'!$F$8:$F$42,SMALL(IF("Página Web"='03.Muestra'!$D$8:$D$42,ROW('03.Muestra'!$F$8:$F$42)-MIN(ROW('03.Muestra'!$D$8:$D$42))+1,""),ROW()-1652)),"")</f>
        <v>https://elecciones.comunidad.madrid/es/formaciones-politicas/impresos-electronicos</v>
      </c>
      <c r="D1658" s="99" t="s">
        <v>174</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Listado de candidaturas</v>
      </c>
      <c r="C1659" s="85" t="str" cm="1">
        <f t="array" ref="C1659">IFERROR(INDEX('03.Muestra'!$F$8:$F$42,SMALL(IF("Página Web"='03.Muestra'!$D$8:$D$42,ROW('03.Muestra'!$F$8:$F$42)-MIN(ROW('03.Muestra'!$D$8:$D$42))+1,""),ROW()-1652)),"")</f>
        <v>https://elecciones.comunidad.madrid/es/formaciones-politicas/listado-candidaturas-proclamadas</v>
      </c>
      <c r="D1659" s="99" t="s">
        <v>174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Partido Feminista de España</v>
      </c>
      <c r="C1660" s="85" t="str" cm="1">
        <f t="array" ref="C1660">IFERROR(INDEX('03.Muestra'!$F$8:$F$42,SMALL(IF("Página Web"='03.Muestra'!$D$8:$D$42,ROW('03.Muestra'!$F$8:$F$42)-MIN(ROW('03.Muestra'!$D$8:$D$42))+1,""),ROW()-1652)),"")</f>
        <v>https://elecciones.comunidad.madrid/es/formaciones-politicas/listado-candidaturas/partido-feminista-espana</v>
      </c>
      <c r="D1660" s="99" t="s">
        <v>174</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¿Dónde voto?</v>
      </c>
      <c r="C1661" s="85" t="str" cm="1">
        <f t="array" ref="C1661">IFERROR(INDEX('03.Muestra'!$F$8:$F$42,SMALL(IF("Página Web"='03.Muestra'!$D$8:$D$42,ROW('03.Muestra'!$F$8:$F$42)-MIN(ROW('03.Muestra'!$D$8:$D$42))+1,""),ROW()-1652)),"")</f>
        <v>https://elecciones.comunidad.madrid/es/votar/donde-voto</v>
      </c>
      <c r="D1661" s="99" t="s">
        <v>174</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Voto presencial</v>
      </c>
      <c r="C1662" s="85" t="str" cm="1">
        <f t="array" ref="C1662">IFERROR(INDEX('03.Muestra'!$F$8:$F$42,SMALL(IF("Página Web"='03.Muestra'!$D$8:$D$42,ROW('03.Muestra'!$F$8:$F$42)-MIN(ROW('03.Muestra'!$D$8:$D$42))+1,""),ROW()-1652)),"")</f>
        <v>https://elecciones.comunidad.madrid/es/voto-local-electoral/voto-presencial</v>
      </c>
      <c r="D1662" s="99" t="s">
        <v>174</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Ciudadanos temporalmente en el extranjero</v>
      </c>
      <c r="C1663" s="85" t="str" cm="1">
        <f t="array" ref="C1663">IFERROR(INDEX('03.Muestra'!$F$8:$F$42,SMALL(IF("Página Web"='03.Muestra'!$D$8:$D$42,ROW('03.Muestra'!$F$8:$F$42)-MIN(ROW('03.Muestra'!$D$8:$D$42))+1,""),ROW()-1652)),"")</f>
        <v>https://elecciones.comunidad.madrid/es/voto-correo/solicitud-voto-temporalmente-ausentes</v>
      </c>
      <c r="D1663" s="99" t="s">
        <v>174</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Nuevo votante</v>
      </c>
      <c r="C1664" s="85" t="str" cm="1">
        <f t="array" ref="C1664">IFERROR(INDEX('03.Muestra'!$F$8:$F$42,SMALL(IF("Página Web"='03.Muestra'!$D$8:$D$42,ROW('03.Muestra'!$F$8:$F$42)-MIN(ROW('03.Muestra'!$D$8:$D$42))+1,""),ROW()-1652)),"")</f>
        <v>https://elecciones.comunidad.madrid/es/votar/nuevo-votante</v>
      </c>
      <c r="D1664" s="99" t="s">
        <v>174</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Simulación método D'Hondt</v>
      </c>
      <c r="C1665" s="85" t="str" cm="1">
        <f t="array" ref="C1665">IFERROR(INDEX('03.Muestra'!$F$8:$F$42,SMALL(IF("Página Web"='03.Muestra'!$D$8:$D$42,ROW('03.Muestra'!$F$8:$F$42)-MIN(ROW('03.Muestra'!$D$8:$D$42))+1,""),ROW()-1652)),"")</f>
        <v>https://elecciones.comunidad.madrid/es/informacion-util/simulacion-metodo-dhondt</v>
      </c>
      <c r="D1665" s="99" t="s">
        <v>174</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Ley D'Hondt</v>
      </c>
      <c r="C1666" s="85" t="str" cm="1">
        <f t="array" ref="C1666">IFERROR(INDEX('03.Muestra'!$F$8:$F$42,SMALL(IF("Página Web"='03.Muestra'!$D$8:$D$42,ROW('03.Muestra'!$F$8:$F$42)-MIN(ROW('03.Muestra'!$D$8:$D$42))+1,""),ROW()-1652)),"")</f>
        <v>https://elecciones.comunidad.madrid/es/resultados/ley_d_hondt</v>
      </c>
      <c r="D1666" s="99" t="s">
        <v>176</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Voto por correo elector CERA en España</v>
      </c>
      <c r="C1667" s="85" t="str" cm="1">
        <f t="array" ref="C1667">IFERROR(INDEX('03.Muestra'!$F$8:$F$42,SMALL(IF("Página Web"='03.Muestra'!$D$8:$D$42,ROW('03.Muestra'!$F$8:$F$42)-MIN(ROW('03.Muestra'!$D$8:$D$42))+1,""),ROW()-1652)),"")</f>
        <v>https://elecciones.comunidad.madrid/es/preguntas-frecuentes/voto-correo-electores-residentes-extranjero</v>
      </c>
      <c r="D1667" s="99" t="s">
        <v>174</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Contacto</v>
      </c>
      <c r="C1668" s="85" t="str" cm="1">
        <f t="array" ref="C1668">IFERROR(INDEX('03.Muestra'!$F$8:$F$42,SMALL(IF("Página Web"='03.Muestra'!$D$8:$D$42,ROW('03.Muestra'!$F$8:$F$42)-MIN(ROW('03.Muestra'!$D$8:$D$42))+1,""),ROW()-1652)),"")</f>
        <v>https://elecciones.comunidad.madrid/es/buzon-de-sugerencias</v>
      </c>
      <c r="D1668" s="99" t="s">
        <v>176</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Buscador</v>
      </c>
      <c r="C1669" s="85" t="str" cm="1">
        <f t="array" ref="C1669">IFERROR(INDEX('03.Muestra'!$F$8:$F$42,SMALL(IF("Página Web"='03.Muestra'!$D$8:$D$42,ROW('03.Muestra'!$F$8:$F$42)-MIN(ROW('03.Muestra'!$D$8:$D$42))+1,""),ROW()-1652)),"")</f>
        <v>https://elecciones.comunidad.madrid/es/search?search_api_fulltext=partido</v>
      </c>
      <c r="D1669" s="99" t="s">
        <v>174</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Aviso Legal-Privacidad</v>
      </c>
      <c r="C1670" s="85" t="str" cm="1">
        <f t="array" ref="C1670">IFERROR(INDEX('03.Muestra'!$F$8:$F$42,SMALL(IF("Página Web"='03.Muestra'!$D$8:$D$42,ROW('03.Muestra'!$F$8:$F$42)-MIN(ROW('03.Muestra'!$D$8:$D$42))+1,""),ROW()-1652)),"")</f>
        <v>https://elecciones.comunidad.madrid/es/aviso-legal</v>
      </c>
      <c r="D1670" s="99" t="s">
        <v>174</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Mapa Web</v>
      </c>
      <c r="C1671" s="85" t="str" cm="1">
        <f t="array" ref="C1671">IFERROR(INDEX('03.Muestra'!$F$8:$F$42,SMALL(IF("Página Web"='03.Muestra'!$D$8:$D$42,ROW('03.Muestra'!$F$8:$F$42)-MIN(ROW('03.Muestra'!$D$8:$D$42))+1,""),ROW()-1652)),"")</f>
        <v>https://elecciones.comunidad.madrid/es/sitemap</v>
      </c>
      <c r="D1671" s="99" t="s">
        <v>174</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Declaracion Accesibilidad</v>
      </c>
      <c r="C1672" s="85" t="str" cm="1">
        <f t="array" ref="C1672">IFERROR(INDEX('03.Muestra'!$F$8:$F$42,SMALL(IF("Página Web"='03.Muestra'!$D$8:$D$42,ROW('03.Muestra'!$F$8:$F$42)-MIN(ROW('03.Muestra'!$D$8:$D$42))+1,""),ROW()-1652)),"")</f>
        <v>https://elecciones.comunidad.madrid/es/accesibilidad</v>
      </c>
      <c r="D1672" s="99" t="s">
        <v>174</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ref="D1673:D1687" si="87">IF(AND(B1673&lt;&gt;"",C1673&lt;&gt;""),"N/T","")</f>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181</v>
      </c>
      <c r="B1690" s="23" t="s">
        <v>173</v>
      </c>
      <c r="C1690" s="24" t="s">
        <v>268</v>
      </c>
      <c r="D1690" s="25" t="s">
        <v>183</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https://elecciones.comunidad.madrid/es</v>
      </c>
      <c r="D1691" s="99" t="s">
        <v>184</v>
      </c>
      <c r="E1691" s="79" t="str">
        <f t="shared" ref="E1691:E1725" si="88">IF(D1691&lt;&gt;"",IF(AND(B1691&lt;&gt;"",C1691&lt;&gt;""),"","ERR"),"")</f>
        <v/>
      </c>
      <c r="F1691" s="86" t="s">
        <v>185</v>
      </c>
      <c r="G1691" s="87" t="s">
        <v>186</v>
      </c>
      <c r="H1691" s="88" t="s">
        <v>184</v>
      </c>
      <c r="I1691" s="89" t="s">
        <v>176</v>
      </c>
      <c r="J1691" s="90" t="s">
        <v>174</v>
      </c>
      <c r="K1691" s="179" t="s">
        <v>180</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Resultado Elecciones 28M 2023</v>
      </c>
      <c r="C1692" s="85" t="str" cm="1">
        <f t="array" ref="C1692">IFERROR(INDEX('03.Muestra'!$F$8:$F$42,SMALL(IF("Página Web"='03.Muestra'!$D$8:$D$42,ROW('03.Muestra'!$F$8:$F$42)-MIN(ROW('03.Muestra'!$D$8:$D$42))+1,""),ROW()-1690)),"")</f>
        <v>https://elecciones.comunidad.madrid/es/resultados-elecciones-asamblea-madrid-28m-2023</v>
      </c>
      <c r="D1692" s="99" t="s">
        <v>184</v>
      </c>
      <c r="E1692" s="79" t="str">
        <f t="shared" si="88"/>
        <v/>
      </c>
      <c r="F1692" s="91">
        <f ca="1">COUNTIF($D1691:INDIRECT("$D" &amp;  SUM(ROW()-1,'03.Muestra'!$D$45)-1),F1691)</f>
        <v>0</v>
      </c>
      <c r="G1692" s="91">
        <f ca="1">COUNTIF($D1691:INDIRECT("$D" &amp;  SUM(ROW()-1,'03.Muestra'!$D$45)-1),G1691)</f>
        <v>0</v>
      </c>
      <c r="H1692" s="91">
        <f ca="1">COUNTIF($D1691:INDIRECT("$D" &amp;  SUM(ROW()-1,'03.Muestra'!$D$45)-1),H1691)</f>
        <v>19</v>
      </c>
      <c r="I1692" s="91">
        <f ca="1">COUNTIF($D1691:INDIRECT("$D" &amp;  SUM(ROW()-1,'03.Muestra'!$D$45)-1),I1691)</f>
        <v>0</v>
      </c>
      <c r="J1692" s="91">
        <f ca="1">COUNTIF($D1691:INDIRECT("$D" &amp;  SUM(ROW()-1,'03.Muestra'!$D$45)-1),J1691)</f>
        <v>1</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Normativa electoral</v>
      </c>
      <c r="C1693" s="85" t="str" cm="1">
        <f t="array" ref="C1693">IFERROR(INDEX('03.Muestra'!$F$8:$F$42,SMALL(IF("Página Web"='03.Muestra'!$D$8:$D$42,ROW('03.Muestra'!$F$8:$F$42)-MIN(ROW('03.Muestra'!$D$8:$D$42))+1,""),ROW()-1690)),"")</f>
        <v>https://elecciones.comunidad.madrid/es/informacion-electoral/normativa-electoral</v>
      </c>
      <c r="D1693" s="99" t="s">
        <v>184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Calendario electoral</v>
      </c>
      <c r="C1694" s="85" t="str" cm="1">
        <f t="array" ref="C1694">IFERROR(INDEX('03.Muestra'!$F$8:$F$42,SMALL(IF("Página Web"='03.Muestra'!$D$8:$D$42,ROW('03.Muestra'!$F$8:$F$42)-MIN(ROW('03.Muestra'!$D$8:$D$42))+1,""),ROW()-1690)),"")</f>
        <v>https://elecciones.comunidad.madrid/es/informacion-electoral/calendario-electoral</v>
      </c>
      <c r="D1694" s="99" t="s">
        <v>184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Direcciones y teléfonos</v>
      </c>
      <c r="C1695" s="85" t="str" cm="1">
        <f t="array" ref="C1695">IFERROR(INDEX('03.Muestra'!$F$8:$F$42,SMALL(IF("Página Web"='03.Muestra'!$D$8:$D$42,ROW('03.Muestra'!$F$8:$F$42)-MIN(ROW('03.Muestra'!$D$8:$D$42))+1,""),ROW()-1690)),"")</f>
        <v>https://elecciones.comunidad.madrid/es/juntas-electorales/direcciones-telefonos</v>
      </c>
      <c r="D1695" s="99" t="s">
        <v>184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Impresos electrónicos</v>
      </c>
      <c r="C1696" s="85" t="str" cm="1">
        <f t="array" ref="C1696">IFERROR(INDEX('03.Muestra'!$F$8:$F$42,SMALL(IF("Página Web"='03.Muestra'!$D$8:$D$42,ROW('03.Muestra'!$F$8:$F$42)-MIN(ROW('03.Muestra'!$D$8:$D$42))+1,""),ROW()-1690)),"")</f>
        <v>https://elecciones.comunidad.madrid/es/formaciones-politicas/impresos-electronicos</v>
      </c>
      <c r="D1696" s="99" t="s">
        <v>184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Listado de candidaturas</v>
      </c>
      <c r="C1697" s="85" t="str" cm="1">
        <f t="array" ref="C1697">IFERROR(INDEX('03.Muestra'!$F$8:$F$42,SMALL(IF("Página Web"='03.Muestra'!$D$8:$D$42,ROW('03.Muestra'!$F$8:$F$42)-MIN(ROW('03.Muestra'!$D$8:$D$42))+1,""),ROW()-1690)),"")</f>
        <v>https://elecciones.comunidad.madrid/es/formaciones-politicas/listado-candidaturas-proclamadas</v>
      </c>
      <c r="D1697" s="99" t="s">
        <v>184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Partido Feminista de España</v>
      </c>
      <c r="C1698" s="85" t="str" cm="1">
        <f t="array" ref="C1698">IFERROR(INDEX('03.Muestra'!$F$8:$F$42,SMALL(IF("Página Web"='03.Muestra'!$D$8:$D$42,ROW('03.Muestra'!$F$8:$F$42)-MIN(ROW('03.Muestra'!$D$8:$D$42))+1,""),ROW()-1690)),"")</f>
        <v>https://elecciones.comunidad.madrid/es/formaciones-politicas/listado-candidaturas/partido-feminista-espana</v>
      </c>
      <c r="D1698" s="99" t="s">
        <v>184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¿Dónde voto?</v>
      </c>
      <c r="C1699" s="85" t="str" cm="1">
        <f t="array" ref="C1699">IFERROR(INDEX('03.Muestra'!$F$8:$F$42,SMALL(IF("Página Web"='03.Muestra'!$D$8:$D$42,ROW('03.Muestra'!$F$8:$F$42)-MIN(ROW('03.Muestra'!$D$8:$D$42))+1,""),ROW()-1690)),"")</f>
        <v>https://elecciones.comunidad.madrid/es/votar/donde-voto</v>
      </c>
      <c r="D1699" s="99" t="s">
        <v>184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Voto presencial</v>
      </c>
      <c r="C1700" s="85" t="str" cm="1">
        <f t="array" ref="C1700">IFERROR(INDEX('03.Muestra'!$F$8:$F$42,SMALL(IF("Página Web"='03.Muestra'!$D$8:$D$42,ROW('03.Muestra'!$F$8:$F$42)-MIN(ROW('03.Muestra'!$D$8:$D$42))+1,""),ROW()-1690)),"")</f>
        <v>https://elecciones.comunidad.madrid/es/voto-local-electoral/voto-presencial</v>
      </c>
      <c r="D1700" s="99" t="s">
        <v>184</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Ciudadanos temporalmente en el extranjero</v>
      </c>
      <c r="C1701" s="85" t="str" cm="1">
        <f t="array" ref="C1701">IFERROR(INDEX('03.Muestra'!$F$8:$F$42,SMALL(IF("Página Web"='03.Muestra'!$D$8:$D$42,ROW('03.Muestra'!$F$8:$F$42)-MIN(ROW('03.Muestra'!$D$8:$D$42))+1,""),ROW()-1690)),"")</f>
        <v>https://elecciones.comunidad.madrid/es/voto-correo/solicitud-voto-temporalmente-ausentes</v>
      </c>
      <c r="D1701" s="99" t="s">
        <v>184</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Nuevo votante</v>
      </c>
      <c r="C1702" s="85" t="str" cm="1">
        <f t="array" ref="C1702">IFERROR(INDEX('03.Muestra'!$F$8:$F$42,SMALL(IF("Página Web"='03.Muestra'!$D$8:$D$42,ROW('03.Muestra'!$F$8:$F$42)-MIN(ROW('03.Muestra'!$D$8:$D$42))+1,""),ROW()-1690)),"")</f>
        <v>https://elecciones.comunidad.madrid/es/votar/nuevo-votante</v>
      </c>
      <c r="D1702" s="99" t="s">
        <v>184</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Simulación método D'Hondt</v>
      </c>
      <c r="C1703" s="85" t="str" cm="1">
        <f t="array" ref="C1703">IFERROR(INDEX('03.Muestra'!$F$8:$F$42,SMALL(IF("Página Web"='03.Muestra'!$D$8:$D$42,ROW('03.Muestra'!$F$8:$F$42)-MIN(ROW('03.Muestra'!$D$8:$D$42))+1,""),ROW()-1690)),"")</f>
        <v>https://elecciones.comunidad.madrid/es/informacion-util/simulacion-metodo-dhondt</v>
      </c>
      <c r="D1703" s="99" t="s">
        <v>184</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Ley D'Hondt</v>
      </c>
      <c r="C1704" s="85" t="str" cm="1">
        <f t="array" ref="C1704">IFERROR(INDEX('03.Muestra'!$F$8:$F$42,SMALL(IF("Página Web"='03.Muestra'!$D$8:$D$42,ROW('03.Muestra'!$F$8:$F$42)-MIN(ROW('03.Muestra'!$D$8:$D$42))+1,""),ROW()-1690)),"")</f>
        <v>https://elecciones.comunidad.madrid/es/resultados/ley_d_hondt</v>
      </c>
      <c r="D1704" s="99" t="s">
        <v>184</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Voto por correo elector CERA en España</v>
      </c>
      <c r="C1705" s="85" t="str" cm="1">
        <f t="array" ref="C1705">IFERROR(INDEX('03.Muestra'!$F$8:$F$42,SMALL(IF("Página Web"='03.Muestra'!$D$8:$D$42,ROW('03.Muestra'!$F$8:$F$42)-MIN(ROW('03.Muestra'!$D$8:$D$42))+1,""),ROW()-1690)),"")</f>
        <v>https://elecciones.comunidad.madrid/es/preguntas-frecuentes/voto-correo-electores-residentes-extranjero</v>
      </c>
      <c r="D1705" s="99" t="s">
        <v>184</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Contacto</v>
      </c>
      <c r="C1706" s="85" t="str" cm="1">
        <f t="array" ref="C1706">IFERROR(INDEX('03.Muestra'!$F$8:$F$42,SMALL(IF("Página Web"='03.Muestra'!$D$8:$D$42,ROW('03.Muestra'!$F$8:$F$42)-MIN(ROW('03.Muestra'!$D$8:$D$42))+1,""),ROW()-1690)),"")</f>
        <v>https://elecciones.comunidad.madrid/es/buzon-de-sugerencias</v>
      </c>
      <c r="D1706" s="99" t="s">
        <v>174</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Buscador</v>
      </c>
      <c r="C1707" s="85" t="str" cm="1">
        <f t="array" ref="C1707">IFERROR(INDEX('03.Muestra'!$F$8:$F$42,SMALL(IF("Página Web"='03.Muestra'!$D$8:$D$42,ROW('03.Muestra'!$F$8:$F$42)-MIN(ROW('03.Muestra'!$D$8:$D$42))+1,""),ROW()-1690)),"")</f>
        <v>https://elecciones.comunidad.madrid/es/search?search_api_fulltext=partido</v>
      </c>
      <c r="D1707" s="99" t="s">
        <v>184</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Aviso Legal-Privacidad</v>
      </c>
      <c r="C1708" s="85" t="str" cm="1">
        <f t="array" ref="C1708">IFERROR(INDEX('03.Muestra'!$F$8:$F$42,SMALL(IF("Página Web"='03.Muestra'!$D$8:$D$42,ROW('03.Muestra'!$F$8:$F$42)-MIN(ROW('03.Muestra'!$D$8:$D$42))+1,""),ROW()-1690)),"")</f>
        <v>https://elecciones.comunidad.madrid/es/aviso-legal</v>
      </c>
      <c r="D1708" s="99" t="s">
        <v>184</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Mapa Web</v>
      </c>
      <c r="C1709" s="85" t="str" cm="1">
        <f t="array" ref="C1709">IFERROR(INDEX('03.Muestra'!$F$8:$F$42,SMALL(IF("Página Web"='03.Muestra'!$D$8:$D$42,ROW('03.Muestra'!$F$8:$F$42)-MIN(ROW('03.Muestra'!$D$8:$D$42))+1,""),ROW()-1690)),"")</f>
        <v>https://elecciones.comunidad.madrid/es/sitemap</v>
      </c>
      <c r="D1709" s="99" t="s">
        <v>184</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Declaracion Accesibilidad</v>
      </c>
      <c r="C1710" s="85" t="str" cm="1">
        <f t="array" ref="C1710">IFERROR(INDEX('03.Muestra'!$F$8:$F$42,SMALL(IF("Página Web"='03.Muestra'!$D$8:$D$42,ROW('03.Muestra'!$F$8:$F$42)-MIN(ROW('03.Muestra'!$D$8:$D$42))+1,""),ROW()-1690)),"")</f>
        <v>https://elecciones.comunidad.madrid/es/accesibilidad</v>
      </c>
      <c r="D1710" s="99" t="s">
        <v>184</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ref="D1711:D1725" si="89">IF(AND(B1711&lt;&gt;"",C1711&lt;&gt;""),"N/T","")</f>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181</v>
      </c>
      <c r="B1728" s="23" t="s">
        <v>173</v>
      </c>
      <c r="C1728" s="24" t="s">
        <v>269</v>
      </c>
      <c r="D1728" s="25" t="s">
        <v>183</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https://elecciones.comunidad.madrid/es</v>
      </c>
      <c r="D1729" s="99" t="s">
        <v>184</v>
      </c>
      <c r="E1729" s="79" t="str">
        <f t="shared" ref="E1729:E1763" si="90">IF(D1729&lt;&gt;"",IF(AND(B1729&lt;&gt;"",C1729&lt;&gt;""),"","ERR"),"")</f>
        <v/>
      </c>
      <c r="F1729" s="86" t="s">
        <v>185</v>
      </c>
      <c r="G1729" s="87" t="s">
        <v>186</v>
      </c>
      <c r="H1729" s="88" t="s">
        <v>184</v>
      </c>
      <c r="I1729" s="89" t="s">
        <v>176</v>
      </c>
      <c r="J1729" s="90" t="s">
        <v>174</v>
      </c>
      <c r="K1729" s="179" t="s">
        <v>180</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Resultado Elecciones 28M 2023</v>
      </c>
      <c r="C1730" s="85" t="str" cm="1">
        <f t="array" ref="C1730">IFERROR(INDEX('03.Muestra'!$F$8:$F$42,SMALL(IF("Página Web"='03.Muestra'!$D$8:$D$42,ROW('03.Muestra'!$F$8:$F$42)-MIN(ROW('03.Muestra'!$D$8:$D$42))+1,""),ROW()-1728)),"")</f>
        <v>https://elecciones.comunidad.madrid/es/resultados-elecciones-asamblea-madrid-28m-2023</v>
      </c>
      <c r="D1730" s="99" t="s">
        <v>184</v>
      </c>
      <c r="E1730" s="79" t="str">
        <f t="shared" si="90"/>
        <v/>
      </c>
      <c r="F1730" s="91">
        <f ca="1">COUNTIF($D1729:INDIRECT("$D" &amp;  SUM(ROW()-1,'03.Muestra'!$D$45)-1),F1729)</f>
        <v>0</v>
      </c>
      <c r="G1730" s="91">
        <f ca="1">COUNTIF($D1729:INDIRECT("$D" &amp;  SUM(ROW()-1,'03.Muestra'!$D$45)-1),G1729)</f>
        <v>0</v>
      </c>
      <c r="H1730" s="91">
        <f ca="1">COUNTIF($D1729:INDIRECT("$D" &amp;  SUM(ROW()-1,'03.Muestra'!$D$45)-1),H1729)</f>
        <v>20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Normativa electoral</v>
      </c>
      <c r="C1731" s="85" t="str" cm="1">
        <f t="array" ref="C1731">IFERROR(INDEX('03.Muestra'!$F$8:$F$42,SMALL(IF("Página Web"='03.Muestra'!$D$8:$D$42,ROW('03.Muestra'!$F$8:$F$42)-MIN(ROW('03.Muestra'!$D$8:$D$42))+1,""),ROW()-1728)),"")</f>
        <v>https://elecciones.comunidad.madrid/es/informacion-electoral/normativa-electoral</v>
      </c>
      <c r="D1731" s="99" t="s">
        <v>184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Calendario electoral</v>
      </c>
      <c r="C1732" s="85" t="str" cm="1">
        <f t="array" ref="C1732">IFERROR(INDEX('03.Muestra'!$F$8:$F$42,SMALL(IF("Página Web"='03.Muestra'!$D$8:$D$42,ROW('03.Muestra'!$F$8:$F$42)-MIN(ROW('03.Muestra'!$D$8:$D$42))+1,""),ROW()-1728)),"")</f>
        <v>https://elecciones.comunidad.madrid/es/informacion-electoral/calendario-electoral</v>
      </c>
      <c r="D1732" s="99" t="s">
        <v>184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Direcciones y teléfonos</v>
      </c>
      <c r="C1733" s="85" t="str" cm="1">
        <f t="array" ref="C1733">IFERROR(INDEX('03.Muestra'!$F$8:$F$42,SMALL(IF("Página Web"='03.Muestra'!$D$8:$D$42,ROW('03.Muestra'!$F$8:$F$42)-MIN(ROW('03.Muestra'!$D$8:$D$42))+1,""),ROW()-1728)),"")</f>
        <v>https://elecciones.comunidad.madrid/es/juntas-electorales/direcciones-telefonos</v>
      </c>
      <c r="D1733" s="99" t="s">
        <v>184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Impresos electrónicos</v>
      </c>
      <c r="C1734" s="85" t="str" cm="1">
        <f t="array" ref="C1734">IFERROR(INDEX('03.Muestra'!$F$8:$F$42,SMALL(IF("Página Web"='03.Muestra'!$D$8:$D$42,ROW('03.Muestra'!$F$8:$F$42)-MIN(ROW('03.Muestra'!$D$8:$D$42))+1,""),ROW()-1728)),"")</f>
        <v>https://elecciones.comunidad.madrid/es/formaciones-politicas/impresos-electronicos</v>
      </c>
      <c r="D1734" s="99" t="s">
        <v>184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Listado de candidaturas</v>
      </c>
      <c r="C1735" s="85" t="str" cm="1">
        <f t="array" ref="C1735">IFERROR(INDEX('03.Muestra'!$F$8:$F$42,SMALL(IF("Página Web"='03.Muestra'!$D$8:$D$42,ROW('03.Muestra'!$F$8:$F$42)-MIN(ROW('03.Muestra'!$D$8:$D$42))+1,""),ROW()-1728)),"")</f>
        <v>https://elecciones.comunidad.madrid/es/formaciones-politicas/listado-candidaturas-proclamadas</v>
      </c>
      <c r="D1735" s="99" t="s">
        <v>184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Partido Feminista de España</v>
      </c>
      <c r="C1736" s="85" t="str" cm="1">
        <f t="array" ref="C1736">IFERROR(INDEX('03.Muestra'!$F$8:$F$42,SMALL(IF("Página Web"='03.Muestra'!$D$8:$D$42,ROW('03.Muestra'!$F$8:$F$42)-MIN(ROW('03.Muestra'!$D$8:$D$42))+1,""),ROW()-1728)),"")</f>
        <v>https://elecciones.comunidad.madrid/es/formaciones-politicas/listado-candidaturas/partido-feminista-espana</v>
      </c>
      <c r="D1736" s="99" t="s">
        <v>184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¿Dónde voto?</v>
      </c>
      <c r="C1737" s="85" t="str" cm="1">
        <f t="array" ref="C1737">IFERROR(INDEX('03.Muestra'!$F$8:$F$42,SMALL(IF("Página Web"='03.Muestra'!$D$8:$D$42,ROW('03.Muestra'!$F$8:$F$42)-MIN(ROW('03.Muestra'!$D$8:$D$42))+1,""),ROW()-1728)),"")</f>
        <v>https://elecciones.comunidad.madrid/es/votar/donde-voto</v>
      </c>
      <c r="D1737" s="99" t="s">
        <v>184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Voto presencial</v>
      </c>
      <c r="C1738" s="85" t="str" cm="1">
        <f t="array" ref="C1738">IFERROR(INDEX('03.Muestra'!$F$8:$F$42,SMALL(IF("Página Web"='03.Muestra'!$D$8:$D$42,ROW('03.Muestra'!$F$8:$F$42)-MIN(ROW('03.Muestra'!$D$8:$D$42))+1,""),ROW()-1728)),"")</f>
        <v>https://elecciones.comunidad.madrid/es/voto-local-electoral/voto-presencial</v>
      </c>
      <c r="D1738" s="99" t="s">
        <v>184</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Ciudadanos temporalmente en el extranjero</v>
      </c>
      <c r="C1739" s="85" t="str" cm="1">
        <f t="array" ref="C1739">IFERROR(INDEX('03.Muestra'!$F$8:$F$42,SMALL(IF("Página Web"='03.Muestra'!$D$8:$D$42,ROW('03.Muestra'!$F$8:$F$42)-MIN(ROW('03.Muestra'!$D$8:$D$42))+1,""),ROW()-1728)),"")</f>
        <v>https://elecciones.comunidad.madrid/es/voto-correo/solicitud-voto-temporalmente-ausentes</v>
      </c>
      <c r="D1739" s="99" t="s">
        <v>184</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Nuevo votante</v>
      </c>
      <c r="C1740" s="85" t="str" cm="1">
        <f t="array" ref="C1740">IFERROR(INDEX('03.Muestra'!$F$8:$F$42,SMALL(IF("Página Web"='03.Muestra'!$D$8:$D$42,ROW('03.Muestra'!$F$8:$F$42)-MIN(ROW('03.Muestra'!$D$8:$D$42))+1,""),ROW()-1728)),"")</f>
        <v>https://elecciones.comunidad.madrid/es/votar/nuevo-votante</v>
      </c>
      <c r="D1740" s="99" t="s">
        <v>184</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Simulación método D'Hondt</v>
      </c>
      <c r="C1741" s="85" t="str" cm="1">
        <f t="array" ref="C1741">IFERROR(INDEX('03.Muestra'!$F$8:$F$42,SMALL(IF("Página Web"='03.Muestra'!$D$8:$D$42,ROW('03.Muestra'!$F$8:$F$42)-MIN(ROW('03.Muestra'!$D$8:$D$42))+1,""),ROW()-1728)),"")</f>
        <v>https://elecciones.comunidad.madrid/es/informacion-util/simulacion-metodo-dhondt</v>
      </c>
      <c r="D1741" s="99" t="s">
        <v>184</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Ley D'Hondt</v>
      </c>
      <c r="C1742" s="85" t="str" cm="1">
        <f t="array" ref="C1742">IFERROR(INDEX('03.Muestra'!$F$8:$F$42,SMALL(IF("Página Web"='03.Muestra'!$D$8:$D$42,ROW('03.Muestra'!$F$8:$F$42)-MIN(ROW('03.Muestra'!$D$8:$D$42))+1,""),ROW()-1728)),"")</f>
        <v>https://elecciones.comunidad.madrid/es/resultados/ley_d_hondt</v>
      </c>
      <c r="D1742" s="99" t="s">
        <v>184</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Voto por correo elector CERA en España</v>
      </c>
      <c r="C1743" s="85" t="str" cm="1">
        <f t="array" ref="C1743">IFERROR(INDEX('03.Muestra'!$F$8:$F$42,SMALL(IF("Página Web"='03.Muestra'!$D$8:$D$42,ROW('03.Muestra'!$F$8:$F$42)-MIN(ROW('03.Muestra'!$D$8:$D$42))+1,""),ROW()-1728)),"")</f>
        <v>https://elecciones.comunidad.madrid/es/preguntas-frecuentes/voto-correo-electores-residentes-extranjero</v>
      </c>
      <c r="D1743" s="99" t="s">
        <v>184</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Contacto</v>
      </c>
      <c r="C1744" s="85" t="str" cm="1">
        <f t="array" ref="C1744">IFERROR(INDEX('03.Muestra'!$F$8:$F$42,SMALL(IF("Página Web"='03.Muestra'!$D$8:$D$42,ROW('03.Muestra'!$F$8:$F$42)-MIN(ROW('03.Muestra'!$D$8:$D$42))+1,""),ROW()-1728)),"")</f>
        <v>https://elecciones.comunidad.madrid/es/buzon-de-sugerencias</v>
      </c>
      <c r="D1744" s="99" t="s">
        <v>184</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Buscador</v>
      </c>
      <c r="C1745" s="85" t="str" cm="1">
        <f t="array" ref="C1745">IFERROR(INDEX('03.Muestra'!$F$8:$F$42,SMALL(IF("Página Web"='03.Muestra'!$D$8:$D$42,ROW('03.Muestra'!$F$8:$F$42)-MIN(ROW('03.Muestra'!$D$8:$D$42))+1,""),ROW()-1728)),"")</f>
        <v>https://elecciones.comunidad.madrid/es/search?search_api_fulltext=partido</v>
      </c>
      <c r="D1745" s="99" t="s">
        <v>184</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Aviso Legal-Privacidad</v>
      </c>
      <c r="C1746" s="85" t="str" cm="1">
        <f t="array" ref="C1746">IFERROR(INDEX('03.Muestra'!$F$8:$F$42,SMALL(IF("Página Web"='03.Muestra'!$D$8:$D$42,ROW('03.Muestra'!$F$8:$F$42)-MIN(ROW('03.Muestra'!$D$8:$D$42))+1,""),ROW()-1728)),"")</f>
        <v>https://elecciones.comunidad.madrid/es/aviso-legal</v>
      </c>
      <c r="D1746" s="99" t="s">
        <v>184</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Mapa Web</v>
      </c>
      <c r="C1747" s="85" t="str" cm="1">
        <f t="array" ref="C1747">IFERROR(INDEX('03.Muestra'!$F$8:$F$42,SMALL(IF("Página Web"='03.Muestra'!$D$8:$D$42,ROW('03.Muestra'!$F$8:$F$42)-MIN(ROW('03.Muestra'!$D$8:$D$42))+1,""),ROW()-1728)),"")</f>
        <v>https://elecciones.comunidad.madrid/es/sitemap</v>
      </c>
      <c r="D1747" s="99" t="s">
        <v>184</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Declaracion Accesibilidad</v>
      </c>
      <c r="C1748" s="85" t="str" cm="1">
        <f t="array" ref="C1748">IFERROR(INDEX('03.Muestra'!$F$8:$F$42,SMALL(IF("Página Web"='03.Muestra'!$D$8:$D$42,ROW('03.Muestra'!$F$8:$F$42)-MIN(ROW('03.Muestra'!$D$8:$D$42))+1,""),ROW()-1728)),"")</f>
        <v>https://elecciones.comunidad.madrid/es/accesibilidad</v>
      </c>
      <c r="D1748" s="99" t="s">
        <v>184</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ref="D1749:D1763" si="91">IF(AND(B1749&lt;&gt;"",C1749&lt;&gt;""),"N/T","")</f>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181</v>
      </c>
      <c r="B1766" s="23" t="s">
        <v>173</v>
      </c>
      <c r="C1766" s="24" t="s">
        <v>270</v>
      </c>
      <c r="D1766" s="25" t="s">
        <v>183</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https://elecciones.comunidad.madrid/es</v>
      </c>
      <c r="D1767" s="99" t="s">
        <v>184</v>
      </c>
      <c r="E1767" s="79" t="str">
        <f t="shared" ref="E1767:E1801" si="92">IF(D1767&lt;&gt;"",IF(AND(B1767&lt;&gt;"",C1767&lt;&gt;""),"","ERR"),"")</f>
        <v/>
      </c>
      <c r="F1767" s="86" t="s">
        <v>185</v>
      </c>
      <c r="G1767" s="87" t="s">
        <v>186</v>
      </c>
      <c r="H1767" s="88" t="s">
        <v>184</v>
      </c>
      <c r="I1767" s="89" t="s">
        <v>176</v>
      </c>
      <c r="J1767" s="90" t="s">
        <v>174</v>
      </c>
      <c r="K1767" s="179" t="s">
        <v>180</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Resultado Elecciones 28M 2023</v>
      </c>
      <c r="C1768" s="85" t="str" cm="1">
        <f t="array" ref="C1768">IFERROR(INDEX('03.Muestra'!$F$8:$F$42,SMALL(IF("Página Web"='03.Muestra'!$D$8:$D$42,ROW('03.Muestra'!$F$8:$F$42)-MIN(ROW('03.Muestra'!$D$8:$D$42))+1,""),ROW()-1766)),"")</f>
        <v>https://elecciones.comunidad.madrid/es/resultados-elecciones-asamblea-madrid-28m-2023</v>
      </c>
      <c r="D1768" s="99" t="s">
        <v>184</v>
      </c>
      <c r="E1768" s="79" t="str">
        <f t="shared" si="92"/>
        <v/>
      </c>
      <c r="F1768" s="91">
        <f ca="1">COUNTIF($D1767:INDIRECT("$D" &amp;  SUM(ROW()-1,'03.Muestra'!$D$45)-1),F1767)</f>
        <v>0</v>
      </c>
      <c r="G1768" s="91">
        <f ca="1">COUNTIF($D1767:INDIRECT("$D" &amp;  SUM(ROW()-1,'03.Muestra'!$D$45)-1),G1767)</f>
        <v>0</v>
      </c>
      <c r="H1768" s="91">
        <f ca="1">COUNTIF($D1767:INDIRECT("$D" &amp;  SUM(ROW()-1,'03.Muestra'!$D$45)-1),H1767)</f>
        <v>20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Normativa electoral</v>
      </c>
      <c r="C1769" s="85" t="str" cm="1">
        <f t="array" ref="C1769">IFERROR(INDEX('03.Muestra'!$F$8:$F$42,SMALL(IF("Página Web"='03.Muestra'!$D$8:$D$42,ROW('03.Muestra'!$F$8:$F$42)-MIN(ROW('03.Muestra'!$D$8:$D$42))+1,""),ROW()-1766)),"")</f>
        <v>https://elecciones.comunidad.madrid/es/informacion-electoral/normativa-electoral</v>
      </c>
      <c r="D1769" s="99" t="s">
        <v>184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Calendario electoral</v>
      </c>
      <c r="C1770" s="85" t="str" cm="1">
        <f t="array" ref="C1770">IFERROR(INDEX('03.Muestra'!$F$8:$F$42,SMALL(IF("Página Web"='03.Muestra'!$D$8:$D$42,ROW('03.Muestra'!$F$8:$F$42)-MIN(ROW('03.Muestra'!$D$8:$D$42))+1,""),ROW()-1766)),"")</f>
        <v>https://elecciones.comunidad.madrid/es/informacion-electoral/calendario-electoral</v>
      </c>
      <c r="D1770" s="99" t="s">
        <v>184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Direcciones y teléfonos</v>
      </c>
      <c r="C1771" s="85" t="str" cm="1">
        <f t="array" ref="C1771">IFERROR(INDEX('03.Muestra'!$F$8:$F$42,SMALL(IF("Página Web"='03.Muestra'!$D$8:$D$42,ROW('03.Muestra'!$F$8:$F$42)-MIN(ROW('03.Muestra'!$D$8:$D$42))+1,""),ROW()-1766)),"")</f>
        <v>https://elecciones.comunidad.madrid/es/juntas-electorales/direcciones-telefonos</v>
      </c>
      <c r="D1771" s="99" t="s">
        <v>184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Impresos electrónicos</v>
      </c>
      <c r="C1772" s="85" t="str" cm="1">
        <f t="array" ref="C1772">IFERROR(INDEX('03.Muestra'!$F$8:$F$42,SMALL(IF("Página Web"='03.Muestra'!$D$8:$D$42,ROW('03.Muestra'!$F$8:$F$42)-MIN(ROW('03.Muestra'!$D$8:$D$42))+1,""),ROW()-1766)),"")</f>
        <v>https://elecciones.comunidad.madrid/es/formaciones-politicas/impresos-electronicos</v>
      </c>
      <c r="D1772" s="99" t="s">
        <v>184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Listado de candidaturas</v>
      </c>
      <c r="C1773" s="85" t="str" cm="1">
        <f t="array" ref="C1773">IFERROR(INDEX('03.Muestra'!$F$8:$F$42,SMALL(IF("Página Web"='03.Muestra'!$D$8:$D$42,ROW('03.Muestra'!$F$8:$F$42)-MIN(ROW('03.Muestra'!$D$8:$D$42))+1,""),ROW()-1766)),"")</f>
        <v>https://elecciones.comunidad.madrid/es/formaciones-politicas/listado-candidaturas-proclamadas</v>
      </c>
      <c r="D1773" s="99" t="s">
        <v>184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Partido Feminista de España</v>
      </c>
      <c r="C1774" s="85" t="str" cm="1">
        <f t="array" ref="C1774">IFERROR(INDEX('03.Muestra'!$F$8:$F$42,SMALL(IF("Página Web"='03.Muestra'!$D$8:$D$42,ROW('03.Muestra'!$F$8:$F$42)-MIN(ROW('03.Muestra'!$D$8:$D$42))+1,""),ROW()-1766)),"")</f>
        <v>https://elecciones.comunidad.madrid/es/formaciones-politicas/listado-candidaturas/partido-feminista-espana</v>
      </c>
      <c r="D1774" s="99" t="s">
        <v>184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¿Dónde voto?</v>
      </c>
      <c r="C1775" s="85" t="str" cm="1">
        <f t="array" ref="C1775">IFERROR(INDEX('03.Muestra'!$F$8:$F$42,SMALL(IF("Página Web"='03.Muestra'!$D$8:$D$42,ROW('03.Muestra'!$F$8:$F$42)-MIN(ROW('03.Muestra'!$D$8:$D$42))+1,""),ROW()-1766)),"")</f>
        <v>https://elecciones.comunidad.madrid/es/votar/donde-voto</v>
      </c>
      <c r="D1775" s="99" t="s">
        <v>184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Voto presencial</v>
      </c>
      <c r="C1776" s="85" t="str" cm="1">
        <f t="array" ref="C1776">IFERROR(INDEX('03.Muestra'!$F$8:$F$42,SMALL(IF("Página Web"='03.Muestra'!$D$8:$D$42,ROW('03.Muestra'!$F$8:$F$42)-MIN(ROW('03.Muestra'!$D$8:$D$42))+1,""),ROW()-1766)),"")</f>
        <v>https://elecciones.comunidad.madrid/es/voto-local-electoral/voto-presencial</v>
      </c>
      <c r="D1776" s="99" t="s">
        <v>184</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Ciudadanos temporalmente en el extranjero</v>
      </c>
      <c r="C1777" s="85" t="str" cm="1">
        <f t="array" ref="C1777">IFERROR(INDEX('03.Muestra'!$F$8:$F$42,SMALL(IF("Página Web"='03.Muestra'!$D$8:$D$42,ROW('03.Muestra'!$F$8:$F$42)-MIN(ROW('03.Muestra'!$D$8:$D$42))+1,""),ROW()-1766)),"")</f>
        <v>https://elecciones.comunidad.madrid/es/voto-correo/solicitud-voto-temporalmente-ausentes</v>
      </c>
      <c r="D1777" s="99" t="s">
        <v>184</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Nuevo votante</v>
      </c>
      <c r="C1778" s="85" t="str" cm="1">
        <f t="array" ref="C1778">IFERROR(INDEX('03.Muestra'!$F$8:$F$42,SMALL(IF("Página Web"='03.Muestra'!$D$8:$D$42,ROW('03.Muestra'!$F$8:$F$42)-MIN(ROW('03.Muestra'!$D$8:$D$42))+1,""),ROW()-1766)),"")</f>
        <v>https://elecciones.comunidad.madrid/es/votar/nuevo-votante</v>
      </c>
      <c r="D1778" s="99" t="s">
        <v>184</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Simulación método D'Hondt</v>
      </c>
      <c r="C1779" s="85" t="str" cm="1">
        <f t="array" ref="C1779">IFERROR(INDEX('03.Muestra'!$F$8:$F$42,SMALL(IF("Página Web"='03.Muestra'!$D$8:$D$42,ROW('03.Muestra'!$F$8:$F$42)-MIN(ROW('03.Muestra'!$D$8:$D$42))+1,""),ROW()-1766)),"")</f>
        <v>https://elecciones.comunidad.madrid/es/informacion-util/simulacion-metodo-dhondt</v>
      </c>
      <c r="D1779" s="99" t="s">
        <v>184</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Ley D'Hondt</v>
      </c>
      <c r="C1780" s="85" t="str" cm="1">
        <f t="array" ref="C1780">IFERROR(INDEX('03.Muestra'!$F$8:$F$42,SMALL(IF("Página Web"='03.Muestra'!$D$8:$D$42,ROW('03.Muestra'!$F$8:$F$42)-MIN(ROW('03.Muestra'!$D$8:$D$42))+1,""),ROW()-1766)),"")</f>
        <v>https://elecciones.comunidad.madrid/es/resultados/ley_d_hondt</v>
      </c>
      <c r="D1780" s="99" t="s">
        <v>184</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Voto por correo elector CERA en España</v>
      </c>
      <c r="C1781" s="85" t="str" cm="1">
        <f t="array" ref="C1781">IFERROR(INDEX('03.Muestra'!$F$8:$F$42,SMALL(IF("Página Web"='03.Muestra'!$D$8:$D$42,ROW('03.Muestra'!$F$8:$F$42)-MIN(ROW('03.Muestra'!$D$8:$D$42))+1,""),ROW()-1766)),"")</f>
        <v>https://elecciones.comunidad.madrid/es/preguntas-frecuentes/voto-correo-electores-residentes-extranjero</v>
      </c>
      <c r="D1781" s="99" t="s">
        <v>184</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Contacto</v>
      </c>
      <c r="C1782" s="85" t="str" cm="1">
        <f t="array" ref="C1782">IFERROR(INDEX('03.Muestra'!$F$8:$F$42,SMALL(IF("Página Web"='03.Muestra'!$D$8:$D$42,ROW('03.Muestra'!$F$8:$F$42)-MIN(ROW('03.Muestra'!$D$8:$D$42))+1,""),ROW()-1766)),"")</f>
        <v>https://elecciones.comunidad.madrid/es/buzon-de-sugerencias</v>
      </c>
      <c r="D1782" s="99" t="s">
        <v>184</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Buscador</v>
      </c>
      <c r="C1783" s="85" t="str" cm="1">
        <f t="array" ref="C1783">IFERROR(INDEX('03.Muestra'!$F$8:$F$42,SMALL(IF("Página Web"='03.Muestra'!$D$8:$D$42,ROW('03.Muestra'!$F$8:$F$42)-MIN(ROW('03.Muestra'!$D$8:$D$42))+1,""),ROW()-1766)),"")</f>
        <v>https://elecciones.comunidad.madrid/es/search?search_api_fulltext=partido</v>
      </c>
      <c r="D1783" s="99" t="s">
        <v>184</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Aviso Legal-Privacidad</v>
      </c>
      <c r="C1784" s="85" t="str" cm="1">
        <f t="array" ref="C1784">IFERROR(INDEX('03.Muestra'!$F$8:$F$42,SMALL(IF("Página Web"='03.Muestra'!$D$8:$D$42,ROW('03.Muestra'!$F$8:$F$42)-MIN(ROW('03.Muestra'!$D$8:$D$42))+1,""),ROW()-1766)),"")</f>
        <v>https://elecciones.comunidad.madrid/es/aviso-legal</v>
      </c>
      <c r="D1784" s="99" t="s">
        <v>184</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Mapa Web</v>
      </c>
      <c r="C1785" s="85" t="str" cm="1">
        <f t="array" ref="C1785">IFERROR(INDEX('03.Muestra'!$F$8:$F$42,SMALL(IF("Página Web"='03.Muestra'!$D$8:$D$42,ROW('03.Muestra'!$F$8:$F$42)-MIN(ROW('03.Muestra'!$D$8:$D$42))+1,""),ROW()-1766)),"")</f>
        <v>https://elecciones.comunidad.madrid/es/sitemap</v>
      </c>
      <c r="D1785" s="99" t="s">
        <v>184</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Declaracion Accesibilidad</v>
      </c>
      <c r="C1786" s="85" t="str" cm="1">
        <f t="array" ref="C1786">IFERROR(INDEX('03.Muestra'!$F$8:$F$42,SMALL(IF("Página Web"='03.Muestra'!$D$8:$D$42,ROW('03.Muestra'!$F$8:$F$42)-MIN(ROW('03.Muestra'!$D$8:$D$42))+1,""),ROW()-1766)),"")</f>
        <v>https://elecciones.comunidad.madrid/es/accesibilidad</v>
      </c>
      <c r="D1786" s="99" t="s">
        <v>184</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87: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181</v>
      </c>
      <c r="B1804" s="23" t="s">
        <v>173</v>
      </c>
      <c r="C1804" s="24" t="s">
        <v>271</v>
      </c>
      <c r="D1804" s="25" t="s">
        <v>183</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https://elecciones.comunidad.madrid/es</v>
      </c>
      <c r="D1805" s="99" t="s">
        <v>174</v>
      </c>
      <c r="E1805" s="79" t="str">
        <f t="shared" ref="E1805:E1839" si="94">IF(D1805&lt;&gt;"",IF(AND(B1805&lt;&gt;"",C1805&lt;&gt;""),"","ERR"),"")</f>
        <v/>
      </c>
      <c r="F1805" s="86" t="s">
        <v>185</v>
      </c>
      <c r="G1805" s="87" t="s">
        <v>186</v>
      </c>
      <c r="H1805" s="88" t="s">
        <v>184</v>
      </c>
      <c r="I1805" s="89" t="s">
        <v>176</v>
      </c>
      <c r="J1805" s="90" t="s">
        <v>174</v>
      </c>
      <c r="K1805" s="179" t="s">
        <v>180</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Resultado Elecciones 28M 2023</v>
      </c>
      <c r="C1806" s="85" t="str" cm="1">
        <f t="array" ref="C1806">IFERROR(INDEX('03.Muestra'!$F$8:$F$42,SMALL(IF("Página Web"='03.Muestra'!$D$8:$D$42,ROW('03.Muestra'!$F$8:$F$42)-MIN(ROW('03.Muestra'!$D$8:$D$42))+1,""),ROW()-1804)),"")</f>
        <v>https://elecciones.comunidad.madrid/es/resultados-elecciones-asamblea-madrid-28m-2023</v>
      </c>
      <c r="D1806" s="99" t="s">
        <v>176</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1</v>
      </c>
      <c r="J1806" s="91">
        <f ca="1">COUNTIF($D1805:INDIRECT("$D" &amp;  SUM(ROW()-1,'03.Muestra'!$D$45)-1),J1805)</f>
        <v>19</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Normativa electoral</v>
      </c>
      <c r="C1807" s="85" t="str" cm="1">
        <f t="array" ref="C1807">IFERROR(INDEX('03.Muestra'!$F$8:$F$42,SMALL(IF("Página Web"='03.Muestra'!$D$8:$D$42,ROW('03.Muestra'!$F$8:$F$42)-MIN(ROW('03.Muestra'!$D$8:$D$42))+1,""),ROW()-1804)),"")</f>
        <v>https://elecciones.comunidad.madrid/es/informacion-electoral/normativa-electoral</v>
      </c>
      <c r="D1807" s="99" t="s">
        <v>174</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Calendario electoral</v>
      </c>
      <c r="C1808" s="85" t="str" cm="1">
        <f t="array" ref="C1808">IFERROR(INDEX('03.Muestra'!$F$8:$F$42,SMALL(IF("Página Web"='03.Muestra'!$D$8:$D$42,ROW('03.Muestra'!$F$8:$F$42)-MIN(ROW('03.Muestra'!$D$8:$D$42))+1,""),ROW()-1804)),"")</f>
        <v>https://elecciones.comunidad.madrid/es/informacion-electoral/calendario-electoral</v>
      </c>
      <c r="D1808" s="99" t="s">
        <v>174</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Direcciones y teléfonos</v>
      </c>
      <c r="C1809" s="85" t="str" cm="1">
        <f t="array" ref="C1809">IFERROR(INDEX('03.Muestra'!$F$8:$F$42,SMALL(IF("Página Web"='03.Muestra'!$D$8:$D$42,ROW('03.Muestra'!$F$8:$F$42)-MIN(ROW('03.Muestra'!$D$8:$D$42))+1,""),ROW()-1804)),"")</f>
        <v>https://elecciones.comunidad.madrid/es/juntas-electorales/direcciones-telefonos</v>
      </c>
      <c r="D1809" s="99" t="s">
        <v>174</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Impresos electrónicos</v>
      </c>
      <c r="C1810" s="85" t="str" cm="1">
        <f t="array" ref="C1810">IFERROR(INDEX('03.Muestra'!$F$8:$F$42,SMALL(IF("Página Web"='03.Muestra'!$D$8:$D$42,ROW('03.Muestra'!$F$8:$F$42)-MIN(ROW('03.Muestra'!$D$8:$D$42))+1,""),ROW()-1804)),"")</f>
        <v>https://elecciones.comunidad.madrid/es/formaciones-politicas/impresos-electronicos</v>
      </c>
      <c r="D1810" s="99" t="s">
        <v>174</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Listado de candidaturas</v>
      </c>
      <c r="C1811" s="85" t="str" cm="1">
        <f t="array" ref="C1811">IFERROR(INDEX('03.Muestra'!$F$8:$F$42,SMALL(IF("Página Web"='03.Muestra'!$D$8:$D$42,ROW('03.Muestra'!$F$8:$F$42)-MIN(ROW('03.Muestra'!$D$8:$D$42))+1,""),ROW()-1804)),"")</f>
        <v>https://elecciones.comunidad.madrid/es/formaciones-politicas/listado-candidaturas-proclamadas</v>
      </c>
      <c r="D1811" s="99" t="s">
        <v>174</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Partido Feminista de España</v>
      </c>
      <c r="C1812" s="85" t="str" cm="1">
        <f t="array" ref="C1812">IFERROR(INDEX('03.Muestra'!$F$8:$F$42,SMALL(IF("Página Web"='03.Muestra'!$D$8:$D$42,ROW('03.Muestra'!$F$8:$F$42)-MIN(ROW('03.Muestra'!$D$8:$D$42))+1,""),ROW()-1804)),"")</f>
        <v>https://elecciones.comunidad.madrid/es/formaciones-politicas/listado-candidaturas/partido-feminista-espana</v>
      </c>
      <c r="D1812" s="99" t="s">
        <v>174</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¿Dónde voto?</v>
      </c>
      <c r="C1813" s="85" t="str" cm="1">
        <f t="array" ref="C1813">IFERROR(INDEX('03.Muestra'!$F$8:$F$42,SMALL(IF("Página Web"='03.Muestra'!$D$8:$D$42,ROW('03.Muestra'!$F$8:$F$42)-MIN(ROW('03.Muestra'!$D$8:$D$42))+1,""),ROW()-1804)),"")</f>
        <v>https://elecciones.comunidad.madrid/es/votar/donde-voto</v>
      </c>
      <c r="D1813" s="99" t="s">
        <v>174</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Voto presencial</v>
      </c>
      <c r="C1814" s="85" t="str" cm="1">
        <f t="array" ref="C1814">IFERROR(INDEX('03.Muestra'!$F$8:$F$42,SMALL(IF("Página Web"='03.Muestra'!$D$8:$D$42,ROW('03.Muestra'!$F$8:$F$42)-MIN(ROW('03.Muestra'!$D$8:$D$42))+1,""),ROW()-1804)),"")</f>
        <v>https://elecciones.comunidad.madrid/es/voto-local-electoral/voto-presencial</v>
      </c>
      <c r="D1814" s="99" t="s">
        <v>174</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Ciudadanos temporalmente en el extranjero</v>
      </c>
      <c r="C1815" s="85" t="str" cm="1">
        <f t="array" ref="C1815">IFERROR(INDEX('03.Muestra'!$F$8:$F$42,SMALL(IF("Página Web"='03.Muestra'!$D$8:$D$42,ROW('03.Muestra'!$F$8:$F$42)-MIN(ROW('03.Muestra'!$D$8:$D$42))+1,""),ROW()-1804)),"")</f>
        <v>https://elecciones.comunidad.madrid/es/voto-correo/solicitud-voto-temporalmente-ausentes</v>
      </c>
      <c r="D1815" s="99" t="s">
        <v>174</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Nuevo votante</v>
      </c>
      <c r="C1816" s="85" t="str" cm="1">
        <f t="array" ref="C1816">IFERROR(INDEX('03.Muestra'!$F$8:$F$42,SMALL(IF("Página Web"='03.Muestra'!$D$8:$D$42,ROW('03.Muestra'!$F$8:$F$42)-MIN(ROW('03.Muestra'!$D$8:$D$42))+1,""),ROW()-1804)),"")</f>
        <v>https://elecciones.comunidad.madrid/es/votar/nuevo-votante</v>
      </c>
      <c r="D1816" s="99" t="s">
        <v>174</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Simulación método D'Hondt</v>
      </c>
      <c r="C1817" s="85" t="str" cm="1">
        <f t="array" ref="C1817">IFERROR(INDEX('03.Muestra'!$F$8:$F$42,SMALL(IF("Página Web"='03.Muestra'!$D$8:$D$42,ROW('03.Muestra'!$F$8:$F$42)-MIN(ROW('03.Muestra'!$D$8:$D$42))+1,""),ROW()-1804)),"")</f>
        <v>https://elecciones.comunidad.madrid/es/informacion-util/simulacion-metodo-dhondt</v>
      </c>
      <c r="D1817" s="99" t="s">
        <v>174</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Ley D'Hondt</v>
      </c>
      <c r="C1818" s="85" t="str" cm="1">
        <f t="array" ref="C1818">IFERROR(INDEX('03.Muestra'!$F$8:$F$42,SMALL(IF("Página Web"='03.Muestra'!$D$8:$D$42,ROW('03.Muestra'!$F$8:$F$42)-MIN(ROW('03.Muestra'!$D$8:$D$42))+1,""),ROW()-1804)),"")</f>
        <v>https://elecciones.comunidad.madrid/es/resultados/ley_d_hondt</v>
      </c>
      <c r="D1818" s="99" t="s">
        <v>174</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Voto por correo elector CERA en España</v>
      </c>
      <c r="C1819" s="85" t="str" cm="1">
        <f t="array" ref="C1819">IFERROR(INDEX('03.Muestra'!$F$8:$F$42,SMALL(IF("Página Web"='03.Muestra'!$D$8:$D$42,ROW('03.Muestra'!$F$8:$F$42)-MIN(ROW('03.Muestra'!$D$8:$D$42))+1,""),ROW()-1804)),"")</f>
        <v>https://elecciones.comunidad.madrid/es/preguntas-frecuentes/voto-correo-electores-residentes-extranjero</v>
      </c>
      <c r="D1819" s="99" t="s">
        <v>174</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Contacto</v>
      </c>
      <c r="C1820" s="85" t="str" cm="1">
        <f t="array" ref="C1820">IFERROR(INDEX('03.Muestra'!$F$8:$F$42,SMALL(IF("Página Web"='03.Muestra'!$D$8:$D$42,ROW('03.Muestra'!$F$8:$F$42)-MIN(ROW('03.Muestra'!$D$8:$D$42))+1,""),ROW()-1804)),"")</f>
        <v>https://elecciones.comunidad.madrid/es/buzon-de-sugerencias</v>
      </c>
      <c r="D1820" s="99" t="s">
        <v>174</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Buscador</v>
      </c>
      <c r="C1821" s="85" t="str" cm="1">
        <f t="array" ref="C1821">IFERROR(INDEX('03.Muestra'!$F$8:$F$42,SMALL(IF("Página Web"='03.Muestra'!$D$8:$D$42,ROW('03.Muestra'!$F$8:$F$42)-MIN(ROW('03.Muestra'!$D$8:$D$42))+1,""),ROW()-1804)),"")</f>
        <v>https://elecciones.comunidad.madrid/es/search?search_api_fulltext=partido</v>
      </c>
      <c r="D1821" s="99" t="s">
        <v>174</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Aviso Legal-Privacidad</v>
      </c>
      <c r="C1822" s="85" t="str" cm="1">
        <f t="array" ref="C1822">IFERROR(INDEX('03.Muestra'!$F$8:$F$42,SMALL(IF("Página Web"='03.Muestra'!$D$8:$D$42,ROW('03.Muestra'!$F$8:$F$42)-MIN(ROW('03.Muestra'!$D$8:$D$42))+1,""),ROW()-1804)),"")</f>
        <v>https://elecciones.comunidad.madrid/es/aviso-legal</v>
      </c>
      <c r="D1822" s="99" t="s">
        <v>174</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Mapa Web</v>
      </c>
      <c r="C1823" s="85" t="str" cm="1">
        <f t="array" ref="C1823">IFERROR(INDEX('03.Muestra'!$F$8:$F$42,SMALL(IF("Página Web"='03.Muestra'!$D$8:$D$42,ROW('03.Muestra'!$F$8:$F$42)-MIN(ROW('03.Muestra'!$D$8:$D$42))+1,""),ROW()-1804)),"")</f>
        <v>https://elecciones.comunidad.madrid/es/sitemap</v>
      </c>
      <c r="D1823" s="99" t="s">
        <v>174</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Declaracion Accesibilidad</v>
      </c>
      <c r="C1824" s="85" t="str" cm="1">
        <f t="array" ref="C1824">IFERROR(INDEX('03.Muestra'!$F$8:$F$42,SMALL(IF("Página Web"='03.Muestra'!$D$8:$D$42,ROW('03.Muestra'!$F$8:$F$42)-MIN(ROW('03.Muestra'!$D$8:$D$42))+1,""),ROW()-1804)),"")</f>
        <v>https://elecciones.comunidad.madrid/es/accesibilidad</v>
      </c>
      <c r="D1824" s="99" t="s">
        <v>174</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ref="D1825:D1839" si="95">IF(AND(B1825&lt;&gt;"",C1825&lt;&gt;""),"N/T","")</f>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181</v>
      </c>
      <c r="B1842" s="23" t="s">
        <v>173</v>
      </c>
      <c r="C1842" s="24" t="s">
        <v>272</v>
      </c>
      <c r="D1842" s="25" t="s">
        <v>183</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https://elecciones.comunidad.madrid/es</v>
      </c>
      <c r="D1843" s="99" t="s">
        <v>184</v>
      </c>
      <c r="E1843" s="79" t="str">
        <f t="shared" ref="E1843:E1877" si="96">IF(D1843&lt;&gt;"",IF(AND(B1843&lt;&gt;"",C1843&lt;&gt;""),"","ERR"),"")</f>
        <v/>
      </c>
      <c r="F1843" s="86" t="s">
        <v>185</v>
      </c>
      <c r="G1843" s="87" t="s">
        <v>186</v>
      </c>
      <c r="H1843" s="88" t="s">
        <v>184</v>
      </c>
      <c r="I1843" s="89" t="s">
        <v>176</v>
      </c>
      <c r="J1843" s="90" t="s">
        <v>174</v>
      </c>
      <c r="K1843" s="179" t="s">
        <v>180</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Resultado Elecciones 28M 2023</v>
      </c>
      <c r="C1844" s="85" t="str" cm="1">
        <f t="array" ref="C1844">IFERROR(INDEX('03.Muestra'!$F$8:$F$42,SMALL(IF("Página Web"='03.Muestra'!$D$8:$D$42,ROW('03.Muestra'!$F$8:$F$42)-MIN(ROW('03.Muestra'!$D$8:$D$42))+1,""),ROW()-1842)),"")</f>
        <v>https://elecciones.comunidad.madrid/es/resultados-elecciones-asamblea-madrid-28m-2023</v>
      </c>
      <c r="D1844" s="99" t="s">
        <v>184</v>
      </c>
      <c r="E1844" s="79" t="str">
        <f t="shared" si="96"/>
        <v/>
      </c>
      <c r="F1844" s="91">
        <f ca="1">COUNTIF($D1843:INDIRECT("$D" &amp;  SUM(ROW()-1,'03.Muestra'!$D$45)-1),F1843)</f>
        <v>0</v>
      </c>
      <c r="G1844" s="91">
        <f ca="1">COUNTIF($D1843:INDIRECT("$D" &amp;  SUM(ROW()-1,'03.Muestra'!$D$45)-1),G1843)</f>
        <v>0</v>
      </c>
      <c r="H1844" s="91">
        <f ca="1">COUNTIF($D1843:INDIRECT("$D" &amp;  SUM(ROW()-1,'03.Muestra'!$D$45)-1),H1843)</f>
        <v>20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Normativa electoral</v>
      </c>
      <c r="C1845" s="85" t="str" cm="1">
        <f t="array" ref="C1845">IFERROR(INDEX('03.Muestra'!$F$8:$F$42,SMALL(IF("Página Web"='03.Muestra'!$D$8:$D$42,ROW('03.Muestra'!$F$8:$F$42)-MIN(ROW('03.Muestra'!$D$8:$D$42))+1,""),ROW()-1842)),"")</f>
        <v>https://elecciones.comunidad.madrid/es/informacion-electoral/normativa-electoral</v>
      </c>
      <c r="D1845" s="99" t="s">
        <v>184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Calendario electoral</v>
      </c>
      <c r="C1846" s="85" t="str" cm="1">
        <f t="array" ref="C1846">IFERROR(INDEX('03.Muestra'!$F$8:$F$42,SMALL(IF("Página Web"='03.Muestra'!$D$8:$D$42,ROW('03.Muestra'!$F$8:$F$42)-MIN(ROW('03.Muestra'!$D$8:$D$42))+1,""),ROW()-1842)),"")</f>
        <v>https://elecciones.comunidad.madrid/es/informacion-electoral/calendario-electoral</v>
      </c>
      <c r="D1846" s="99" t="s">
        <v>184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Direcciones y teléfonos</v>
      </c>
      <c r="C1847" s="85" t="str" cm="1">
        <f t="array" ref="C1847">IFERROR(INDEX('03.Muestra'!$F$8:$F$42,SMALL(IF("Página Web"='03.Muestra'!$D$8:$D$42,ROW('03.Muestra'!$F$8:$F$42)-MIN(ROW('03.Muestra'!$D$8:$D$42))+1,""),ROW()-1842)),"")</f>
        <v>https://elecciones.comunidad.madrid/es/juntas-electorales/direcciones-telefonos</v>
      </c>
      <c r="D1847" s="99" t="s">
        <v>184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Impresos electrónicos</v>
      </c>
      <c r="C1848" s="85" t="str" cm="1">
        <f t="array" ref="C1848">IFERROR(INDEX('03.Muestra'!$F$8:$F$42,SMALL(IF("Página Web"='03.Muestra'!$D$8:$D$42,ROW('03.Muestra'!$F$8:$F$42)-MIN(ROW('03.Muestra'!$D$8:$D$42))+1,""),ROW()-1842)),"")</f>
        <v>https://elecciones.comunidad.madrid/es/formaciones-politicas/impresos-electronicos</v>
      </c>
      <c r="D1848" s="99" t="s">
        <v>184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Listado de candidaturas</v>
      </c>
      <c r="C1849" s="85" t="str" cm="1">
        <f t="array" ref="C1849">IFERROR(INDEX('03.Muestra'!$F$8:$F$42,SMALL(IF("Página Web"='03.Muestra'!$D$8:$D$42,ROW('03.Muestra'!$F$8:$F$42)-MIN(ROW('03.Muestra'!$D$8:$D$42))+1,""),ROW()-1842)),"")</f>
        <v>https://elecciones.comunidad.madrid/es/formaciones-politicas/listado-candidaturas-proclamadas</v>
      </c>
      <c r="D1849" s="99" t="s">
        <v>184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Partido Feminista de España</v>
      </c>
      <c r="C1850" s="85" t="str" cm="1">
        <f t="array" ref="C1850">IFERROR(INDEX('03.Muestra'!$F$8:$F$42,SMALL(IF("Página Web"='03.Muestra'!$D$8:$D$42,ROW('03.Muestra'!$F$8:$F$42)-MIN(ROW('03.Muestra'!$D$8:$D$42))+1,""),ROW()-1842)),"")</f>
        <v>https://elecciones.comunidad.madrid/es/formaciones-politicas/listado-candidaturas/partido-feminista-espana</v>
      </c>
      <c r="D1850" s="99" t="s">
        <v>184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¿Dónde voto?</v>
      </c>
      <c r="C1851" s="85" t="str" cm="1">
        <f t="array" ref="C1851">IFERROR(INDEX('03.Muestra'!$F$8:$F$42,SMALL(IF("Página Web"='03.Muestra'!$D$8:$D$42,ROW('03.Muestra'!$F$8:$F$42)-MIN(ROW('03.Muestra'!$D$8:$D$42))+1,""),ROW()-1842)),"")</f>
        <v>https://elecciones.comunidad.madrid/es/votar/donde-voto</v>
      </c>
      <c r="D1851" s="99" t="s">
        <v>184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Voto presencial</v>
      </c>
      <c r="C1852" s="85" t="str" cm="1">
        <f t="array" ref="C1852">IFERROR(INDEX('03.Muestra'!$F$8:$F$42,SMALL(IF("Página Web"='03.Muestra'!$D$8:$D$42,ROW('03.Muestra'!$F$8:$F$42)-MIN(ROW('03.Muestra'!$D$8:$D$42))+1,""),ROW()-1842)),"")</f>
        <v>https://elecciones.comunidad.madrid/es/voto-local-electoral/voto-presencial</v>
      </c>
      <c r="D1852" s="99" t="s">
        <v>184</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Ciudadanos temporalmente en el extranjero</v>
      </c>
      <c r="C1853" s="85" t="str" cm="1">
        <f t="array" ref="C1853">IFERROR(INDEX('03.Muestra'!$F$8:$F$42,SMALL(IF("Página Web"='03.Muestra'!$D$8:$D$42,ROW('03.Muestra'!$F$8:$F$42)-MIN(ROW('03.Muestra'!$D$8:$D$42))+1,""),ROW()-1842)),"")</f>
        <v>https://elecciones.comunidad.madrid/es/voto-correo/solicitud-voto-temporalmente-ausentes</v>
      </c>
      <c r="D1853" s="99" t="s">
        <v>184</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Nuevo votante</v>
      </c>
      <c r="C1854" s="85" t="str" cm="1">
        <f t="array" ref="C1854">IFERROR(INDEX('03.Muestra'!$F$8:$F$42,SMALL(IF("Página Web"='03.Muestra'!$D$8:$D$42,ROW('03.Muestra'!$F$8:$F$42)-MIN(ROW('03.Muestra'!$D$8:$D$42))+1,""),ROW()-1842)),"")</f>
        <v>https://elecciones.comunidad.madrid/es/votar/nuevo-votante</v>
      </c>
      <c r="D1854" s="99" t="s">
        <v>184</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Simulación método D'Hondt</v>
      </c>
      <c r="C1855" s="85" t="str" cm="1">
        <f t="array" ref="C1855">IFERROR(INDEX('03.Muestra'!$F$8:$F$42,SMALL(IF("Página Web"='03.Muestra'!$D$8:$D$42,ROW('03.Muestra'!$F$8:$F$42)-MIN(ROW('03.Muestra'!$D$8:$D$42))+1,""),ROW()-1842)),"")</f>
        <v>https://elecciones.comunidad.madrid/es/informacion-util/simulacion-metodo-dhondt</v>
      </c>
      <c r="D1855" s="99" t="s">
        <v>184</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Ley D'Hondt</v>
      </c>
      <c r="C1856" s="85" t="str" cm="1">
        <f t="array" ref="C1856">IFERROR(INDEX('03.Muestra'!$F$8:$F$42,SMALL(IF("Página Web"='03.Muestra'!$D$8:$D$42,ROW('03.Muestra'!$F$8:$F$42)-MIN(ROW('03.Muestra'!$D$8:$D$42))+1,""),ROW()-1842)),"")</f>
        <v>https://elecciones.comunidad.madrid/es/resultados/ley_d_hondt</v>
      </c>
      <c r="D1856" s="99" t="s">
        <v>184</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Voto por correo elector CERA en España</v>
      </c>
      <c r="C1857" s="85" t="str" cm="1">
        <f t="array" ref="C1857">IFERROR(INDEX('03.Muestra'!$F$8:$F$42,SMALL(IF("Página Web"='03.Muestra'!$D$8:$D$42,ROW('03.Muestra'!$F$8:$F$42)-MIN(ROW('03.Muestra'!$D$8:$D$42))+1,""),ROW()-1842)),"")</f>
        <v>https://elecciones.comunidad.madrid/es/preguntas-frecuentes/voto-correo-electores-residentes-extranjero</v>
      </c>
      <c r="D1857" s="99" t="s">
        <v>184</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Contacto</v>
      </c>
      <c r="C1858" s="85" t="str" cm="1">
        <f t="array" ref="C1858">IFERROR(INDEX('03.Muestra'!$F$8:$F$42,SMALL(IF("Página Web"='03.Muestra'!$D$8:$D$42,ROW('03.Muestra'!$F$8:$F$42)-MIN(ROW('03.Muestra'!$D$8:$D$42))+1,""),ROW()-1842)),"")</f>
        <v>https://elecciones.comunidad.madrid/es/buzon-de-sugerencias</v>
      </c>
      <c r="D1858" s="99" t="s">
        <v>184</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Buscador</v>
      </c>
      <c r="C1859" s="85" t="str" cm="1">
        <f t="array" ref="C1859">IFERROR(INDEX('03.Muestra'!$F$8:$F$42,SMALL(IF("Página Web"='03.Muestra'!$D$8:$D$42,ROW('03.Muestra'!$F$8:$F$42)-MIN(ROW('03.Muestra'!$D$8:$D$42))+1,""),ROW()-1842)),"")</f>
        <v>https://elecciones.comunidad.madrid/es/search?search_api_fulltext=partido</v>
      </c>
      <c r="D1859" s="99" t="s">
        <v>184</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Aviso Legal-Privacidad</v>
      </c>
      <c r="C1860" s="85" t="str" cm="1">
        <f t="array" ref="C1860">IFERROR(INDEX('03.Muestra'!$F$8:$F$42,SMALL(IF("Página Web"='03.Muestra'!$D$8:$D$42,ROW('03.Muestra'!$F$8:$F$42)-MIN(ROW('03.Muestra'!$D$8:$D$42))+1,""),ROW()-1842)),"")</f>
        <v>https://elecciones.comunidad.madrid/es/aviso-legal</v>
      </c>
      <c r="D1860" s="99" t="s">
        <v>184</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Mapa Web</v>
      </c>
      <c r="C1861" s="85" t="str" cm="1">
        <f t="array" ref="C1861">IFERROR(INDEX('03.Muestra'!$F$8:$F$42,SMALL(IF("Página Web"='03.Muestra'!$D$8:$D$42,ROW('03.Muestra'!$F$8:$F$42)-MIN(ROW('03.Muestra'!$D$8:$D$42))+1,""),ROW()-1842)),"")</f>
        <v>https://elecciones.comunidad.madrid/es/sitemap</v>
      </c>
      <c r="D1861" s="99" t="s">
        <v>184</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Declaracion Accesibilidad</v>
      </c>
      <c r="C1862" s="85" t="str" cm="1">
        <f t="array" ref="C1862">IFERROR(INDEX('03.Muestra'!$F$8:$F$42,SMALL(IF("Página Web"='03.Muestra'!$D$8:$D$42,ROW('03.Muestra'!$F$8:$F$42)-MIN(ROW('03.Muestra'!$D$8:$D$42))+1,""),ROW()-1842)),"")</f>
        <v>https://elecciones.comunidad.madrid/es/accesibilidad</v>
      </c>
      <c r="D1862" s="99" t="s">
        <v>184</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ref="D1863:D1877" si="97">IF(AND(B1863&lt;&gt;"",C1863&lt;&gt;""),"N/T","")</f>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181</v>
      </c>
      <c r="B1880" s="23" t="s">
        <v>173</v>
      </c>
      <c r="C1880" s="24" t="s">
        <v>273</v>
      </c>
      <c r="D1880" s="25" t="s">
        <v>183</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https://elecciones.comunidad.madrid/es</v>
      </c>
      <c r="D1881" s="99" t="s">
        <v>176</v>
      </c>
      <c r="E1881" s="79" t="str">
        <f t="shared" ref="E1881:E1915" si="98">IF(D1881&lt;&gt;"",IF(AND(B1881&lt;&gt;"",C1881&lt;&gt;""),"","ERR"),"")</f>
        <v/>
      </c>
      <c r="F1881" s="86" t="s">
        <v>185</v>
      </c>
      <c r="G1881" s="87" t="s">
        <v>186</v>
      </c>
      <c r="H1881" s="88" t="s">
        <v>184</v>
      </c>
      <c r="I1881" s="89" t="s">
        <v>176</v>
      </c>
      <c r="J1881" s="90" t="s">
        <v>174</v>
      </c>
      <c r="K1881" s="179" t="s">
        <v>180</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Resultado Elecciones 28M 2023</v>
      </c>
      <c r="C1882" s="85" t="str" cm="1">
        <f t="array" ref="C1882">IFERROR(INDEX('03.Muestra'!$F$8:$F$42,SMALL(IF("Página Web"='03.Muestra'!$D$8:$D$42,ROW('03.Muestra'!$F$8:$F$42)-MIN(ROW('03.Muestra'!$D$8:$D$42))+1,""),ROW()-1880)),"")</f>
        <v>https://elecciones.comunidad.madrid/es/resultados-elecciones-asamblea-madrid-28m-2023</v>
      </c>
      <c r="D1882" s="99" t="s">
        <v>176</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Normativa electoral</v>
      </c>
      <c r="C1883" s="85" t="str" cm="1">
        <f t="array" ref="C1883">IFERROR(INDEX('03.Muestra'!$F$8:$F$42,SMALL(IF("Página Web"='03.Muestra'!$D$8:$D$42,ROW('03.Muestra'!$F$8:$F$42)-MIN(ROW('03.Muestra'!$D$8:$D$42))+1,""),ROW()-1880)),"")</f>
        <v>https://elecciones.comunidad.madrid/es/informacion-electoral/normativa-electoral</v>
      </c>
      <c r="D1883" s="99" t="s">
        <v>176</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Calendario electoral</v>
      </c>
      <c r="C1884" s="85" t="str" cm="1">
        <f t="array" ref="C1884">IFERROR(INDEX('03.Muestra'!$F$8:$F$42,SMALL(IF("Página Web"='03.Muestra'!$D$8:$D$42,ROW('03.Muestra'!$F$8:$F$42)-MIN(ROW('03.Muestra'!$D$8:$D$42))+1,""),ROW()-1880)),"")</f>
        <v>https://elecciones.comunidad.madrid/es/informacion-electoral/calendario-electoral</v>
      </c>
      <c r="D1884" s="99" t="s">
        <v>176</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Direcciones y teléfonos</v>
      </c>
      <c r="C1885" s="85" t="str" cm="1">
        <f t="array" ref="C1885">IFERROR(INDEX('03.Muestra'!$F$8:$F$42,SMALL(IF("Página Web"='03.Muestra'!$D$8:$D$42,ROW('03.Muestra'!$F$8:$F$42)-MIN(ROW('03.Muestra'!$D$8:$D$42))+1,""),ROW()-1880)),"")</f>
        <v>https://elecciones.comunidad.madrid/es/juntas-electorales/direcciones-telefonos</v>
      </c>
      <c r="D1885" s="99" t="s">
        <v>176</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Impresos electrónicos</v>
      </c>
      <c r="C1886" s="85" t="str" cm="1">
        <f t="array" ref="C1886">IFERROR(INDEX('03.Muestra'!$F$8:$F$42,SMALL(IF("Página Web"='03.Muestra'!$D$8:$D$42,ROW('03.Muestra'!$F$8:$F$42)-MIN(ROW('03.Muestra'!$D$8:$D$42))+1,""),ROW()-1880)),"")</f>
        <v>https://elecciones.comunidad.madrid/es/formaciones-politicas/impresos-electronicos</v>
      </c>
      <c r="D1886" s="99" t="s">
        <v>176</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Listado de candidaturas</v>
      </c>
      <c r="C1887" s="85" t="str" cm="1">
        <f t="array" ref="C1887">IFERROR(INDEX('03.Muestra'!$F$8:$F$42,SMALL(IF("Página Web"='03.Muestra'!$D$8:$D$42,ROW('03.Muestra'!$F$8:$F$42)-MIN(ROW('03.Muestra'!$D$8:$D$42))+1,""),ROW()-1880)),"")</f>
        <v>https://elecciones.comunidad.madrid/es/formaciones-politicas/listado-candidaturas-proclamadas</v>
      </c>
      <c r="D1887" s="99" t="s">
        <v>176</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Partido Feminista de España</v>
      </c>
      <c r="C1888" s="85" t="str" cm="1">
        <f t="array" ref="C1888">IFERROR(INDEX('03.Muestra'!$F$8:$F$42,SMALL(IF("Página Web"='03.Muestra'!$D$8:$D$42,ROW('03.Muestra'!$F$8:$F$42)-MIN(ROW('03.Muestra'!$D$8:$D$42))+1,""),ROW()-1880)),"")</f>
        <v>https://elecciones.comunidad.madrid/es/formaciones-politicas/listado-candidaturas/partido-feminista-espana</v>
      </c>
      <c r="D1888" s="99" t="s">
        <v>176</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¿Dónde voto?</v>
      </c>
      <c r="C1889" s="85" t="str" cm="1">
        <f t="array" ref="C1889">IFERROR(INDEX('03.Muestra'!$F$8:$F$42,SMALL(IF("Página Web"='03.Muestra'!$D$8:$D$42,ROW('03.Muestra'!$F$8:$F$42)-MIN(ROW('03.Muestra'!$D$8:$D$42))+1,""),ROW()-1880)),"")</f>
        <v>https://elecciones.comunidad.madrid/es/votar/donde-voto</v>
      </c>
      <c r="D1889" s="99" t="s">
        <v>176</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Voto presencial</v>
      </c>
      <c r="C1890" s="85" t="str" cm="1">
        <f t="array" ref="C1890">IFERROR(INDEX('03.Muestra'!$F$8:$F$42,SMALL(IF("Página Web"='03.Muestra'!$D$8:$D$42,ROW('03.Muestra'!$F$8:$F$42)-MIN(ROW('03.Muestra'!$D$8:$D$42))+1,""),ROW()-1880)),"")</f>
        <v>https://elecciones.comunidad.madrid/es/voto-local-electoral/voto-presencial</v>
      </c>
      <c r="D1890" s="99" t="s">
        <v>176</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Ciudadanos temporalmente en el extranjero</v>
      </c>
      <c r="C1891" s="85" t="str" cm="1">
        <f t="array" ref="C1891">IFERROR(INDEX('03.Muestra'!$F$8:$F$42,SMALL(IF("Página Web"='03.Muestra'!$D$8:$D$42,ROW('03.Muestra'!$F$8:$F$42)-MIN(ROW('03.Muestra'!$D$8:$D$42))+1,""),ROW()-1880)),"")</f>
        <v>https://elecciones.comunidad.madrid/es/voto-correo/solicitud-voto-temporalmente-ausentes</v>
      </c>
      <c r="D1891" s="99" t="s">
        <v>176</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Nuevo votante</v>
      </c>
      <c r="C1892" s="85" t="str" cm="1">
        <f t="array" ref="C1892">IFERROR(INDEX('03.Muestra'!$F$8:$F$42,SMALL(IF("Página Web"='03.Muestra'!$D$8:$D$42,ROW('03.Muestra'!$F$8:$F$42)-MIN(ROW('03.Muestra'!$D$8:$D$42))+1,""),ROW()-1880)),"")</f>
        <v>https://elecciones.comunidad.madrid/es/votar/nuevo-votante</v>
      </c>
      <c r="D1892" s="99" t="s">
        <v>176</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Simulación método D'Hondt</v>
      </c>
      <c r="C1893" s="85" t="str" cm="1">
        <f t="array" ref="C1893">IFERROR(INDEX('03.Muestra'!$F$8:$F$42,SMALL(IF("Página Web"='03.Muestra'!$D$8:$D$42,ROW('03.Muestra'!$F$8:$F$42)-MIN(ROW('03.Muestra'!$D$8:$D$42))+1,""),ROW()-1880)),"")</f>
        <v>https://elecciones.comunidad.madrid/es/informacion-util/simulacion-metodo-dhondt</v>
      </c>
      <c r="D1893" s="99" t="s">
        <v>176</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Ley D'Hondt</v>
      </c>
      <c r="C1894" s="85" t="str" cm="1">
        <f t="array" ref="C1894">IFERROR(INDEX('03.Muestra'!$F$8:$F$42,SMALL(IF("Página Web"='03.Muestra'!$D$8:$D$42,ROW('03.Muestra'!$F$8:$F$42)-MIN(ROW('03.Muestra'!$D$8:$D$42))+1,""),ROW()-1880)),"")</f>
        <v>https://elecciones.comunidad.madrid/es/resultados/ley_d_hondt</v>
      </c>
      <c r="D1894" s="99" t="s">
        <v>176</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Voto por correo elector CERA en España</v>
      </c>
      <c r="C1895" s="85" t="str" cm="1">
        <f t="array" ref="C1895">IFERROR(INDEX('03.Muestra'!$F$8:$F$42,SMALL(IF("Página Web"='03.Muestra'!$D$8:$D$42,ROW('03.Muestra'!$F$8:$F$42)-MIN(ROW('03.Muestra'!$D$8:$D$42))+1,""),ROW()-1880)),"")</f>
        <v>https://elecciones.comunidad.madrid/es/preguntas-frecuentes/voto-correo-electores-residentes-extranjero</v>
      </c>
      <c r="D1895" s="99" t="s">
        <v>176</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Contacto</v>
      </c>
      <c r="C1896" s="85" t="str" cm="1">
        <f t="array" ref="C1896">IFERROR(INDEX('03.Muestra'!$F$8:$F$42,SMALL(IF("Página Web"='03.Muestra'!$D$8:$D$42,ROW('03.Muestra'!$F$8:$F$42)-MIN(ROW('03.Muestra'!$D$8:$D$42))+1,""),ROW()-1880)),"")</f>
        <v>https://elecciones.comunidad.madrid/es/buzon-de-sugerencias</v>
      </c>
      <c r="D1896" s="99" t="s">
        <v>176</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Buscador</v>
      </c>
      <c r="C1897" s="85" t="str" cm="1">
        <f t="array" ref="C1897">IFERROR(INDEX('03.Muestra'!$F$8:$F$42,SMALL(IF("Página Web"='03.Muestra'!$D$8:$D$42,ROW('03.Muestra'!$F$8:$F$42)-MIN(ROW('03.Muestra'!$D$8:$D$42))+1,""),ROW()-1880)),"")</f>
        <v>https://elecciones.comunidad.madrid/es/search?search_api_fulltext=partido</v>
      </c>
      <c r="D1897" s="99" t="s">
        <v>176</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Aviso Legal-Privacidad</v>
      </c>
      <c r="C1898" s="85" t="str" cm="1">
        <f t="array" ref="C1898">IFERROR(INDEX('03.Muestra'!$F$8:$F$42,SMALL(IF("Página Web"='03.Muestra'!$D$8:$D$42,ROW('03.Muestra'!$F$8:$F$42)-MIN(ROW('03.Muestra'!$D$8:$D$42))+1,""),ROW()-1880)),"")</f>
        <v>https://elecciones.comunidad.madrid/es/aviso-legal</v>
      </c>
      <c r="D1898" s="99" t="s">
        <v>176</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Mapa Web</v>
      </c>
      <c r="C1899" s="85" t="str" cm="1">
        <f t="array" ref="C1899">IFERROR(INDEX('03.Muestra'!$F$8:$F$42,SMALL(IF("Página Web"='03.Muestra'!$D$8:$D$42,ROW('03.Muestra'!$F$8:$F$42)-MIN(ROW('03.Muestra'!$D$8:$D$42))+1,""),ROW()-1880)),"")</f>
        <v>https://elecciones.comunidad.madrid/es/sitemap</v>
      </c>
      <c r="D1899" s="99" t="s">
        <v>176</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Declaracion Accesibilidad</v>
      </c>
      <c r="C1900" s="85" t="str" cm="1">
        <f t="array" ref="C1900">IFERROR(INDEX('03.Muestra'!$F$8:$F$42,SMALL(IF("Página Web"='03.Muestra'!$D$8:$D$42,ROW('03.Muestra'!$F$8:$F$42)-MIN(ROW('03.Muestra'!$D$8:$D$42))+1,""),ROW()-1880)),"")</f>
        <v>https://elecciones.comunidad.madrid/es/accesibilidad</v>
      </c>
      <c r="D1900" s="99" t="s">
        <v>176</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ref="D1901:D1915" si="99">IF(AND(B1901&lt;&gt;"",C1901&lt;&gt;""),"N/T","")</f>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912" priority="374" stopIfTrue="1" operator="equal">
      <formula>"N/A"</formula>
    </cfRule>
    <cfRule type="cellIs" dxfId="911" priority="376" stopIfTrue="1" operator="equal">
      <formula>"N/D"</formula>
    </cfRule>
    <cfRule type="cellIs" dxfId="910" priority="375" stopIfTrue="1" operator="equal">
      <formula>"N/T"</formula>
    </cfRule>
    <cfRule type="cellIs" dxfId="909" priority="373" stopIfTrue="1" operator="equal">
      <formula>"Falla"</formula>
    </cfRule>
    <cfRule type="cellIs" dxfId="908" priority="372" stopIfTrue="1" operator="equal">
      <formula>"Pasa"</formula>
    </cfRule>
    <cfRule type="expression" dxfId="907" priority="371" stopIfTrue="1">
      <formula>ISBLANK(D19)</formula>
    </cfRule>
    <cfRule type="cellIs" dxfId="906" priority="370" stopIfTrue="1" operator="equal">
      <formula>"-"</formula>
    </cfRule>
  </conditionalFormatting>
  <conditionalFormatting sqref="D57:D91">
    <cfRule type="cellIs" dxfId="905" priority="368" stopIfTrue="1" operator="equal">
      <formula>"N/T"</formula>
    </cfRule>
    <cfRule type="cellIs" dxfId="904" priority="367" stopIfTrue="1" operator="equal">
      <formula>"N/A"</formula>
    </cfRule>
    <cfRule type="cellIs" dxfId="903" priority="366" stopIfTrue="1" operator="equal">
      <formula>"Falla"</formula>
    </cfRule>
    <cfRule type="cellIs" dxfId="902" priority="365" stopIfTrue="1" operator="equal">
      <formula>"Pasa"</formula>
    </cfRule>
    <cfRule type="expression" dxfId="901" priority="364" stopIfTrue="1">
      <formula>ISBLANK(D57)</formula>
    </cfRule>
    <cfRule type="cellIs" dxfId="900" priority="363" stopIfTrue="1" operator="equal">
      <formula>"-"</formula>
    </cfRule>
    <cfRule type="cellIs" dxfId="899" priority="369" stopIfTrue="1" operator="equal">
      <formula>"N/D"</formula>
    </cfRule>
  </conditionalFormatting>
  <conditionalFormatting sqref="D95:D129">
    <cfRule type="cellIs" dxfId="898" priority="356" stopIfTrue="1" operator="equal">
      <formula>"-"</formula>
    </cfRule>
    <cfRule type="cellIs" dxfId="897" priority="362" stopIfTrue="1" operator="equal">
      <formula>"N/D"</formula>
    </cfRule>
    <cfRule type="cellIs" dxfId="896" priority="361" stopIfTrue="1" operator="equal">
      <formula>"N/T"</formula>
    </cfRule>
    <cfRule type="cellIs" dxfId="895" priority="360" stopIfTrue="1" operator="equal">
      <formula>"N/A"</formula>
    </cfRule>
    <cfRule type="cellIs" dxfId="894" priority="359" stopIfTrue="1" operator="equal">
      <formula>"Falla"</formula>
    </cfRule>
    <cfRule type="cellIs" dxfId="893" priority="358" stopIfTrue="1" operator="equal">
      <formula>"Pasa"</formula>
    </cfRule>
    <cfRule type="expression" dxfId="892" priority="357" stopIfTrue="1">
      <formula>ISBLANK(D95)</formula>
    </cfRule>
  </conditionalFormatting>
  <conditionalFormatting sqref="D133:D167">
    <cfRule type="cellIs" dxfId="891" priority="355" stopIfTrue="1" operator="equal">
      <formula>"N/D"</formula>
    </cfRule>
    <cfRule type="cellIs" dxfId="890" priority="354" stopIfTrue="1" operator="equal">
      <formula>"N/T"</formula>
    </cfRule>
    <cfRule type="cellIs" dxfId="889" priority="353" stopIfTrue="1" operator="equal">
      <formula>"N/A"</formula>
    </cfRule>
    <cfRule type="cellIs" dxfId="888" priority="352" stopIfTrue="1" operator="equal">
      <formula>"Falla"</formula>
    </cfRule>
    <cfRule type="cellIs" dxfId="887" priority="351" stopIfTrue="1" operator="equal">
      <formula>"Pasa"</formula>
    </cfRule>
    <cfRule type="expression" dxfId="886" priority="350" stopIfTrue="1">
      <formula>ISBLANK(D133)</formula>
    </cfRule>
    <cfRule type="cellIs" dxfId="885" priority="349" stopIfTrue="1" operator="equal">
      <formula>"-"</formula>
    </cfRule>
  </conditionalFormatting>
  <conditionalFormatting sqref="D171:D205">
    <cfRule type="cellIs" dxfId="884" priority="341" stopIfTrue="1" operator="equal">
      <formula>"N/D"</formula>
    </cfRule>
    <cfRule type="cellIs" dxfId="883" priority="340" stopIfTrue="1" operator="equal">
      <formula>"N/T"</formula>
    </cfRule>
    <cfRule type="cellIs" dxfId="882" priority="339" stopIfTrue="1" operator="equal">
      <formula>"N/A"</formula>
    </cfRule>
    <cfRule type="cellIs" dxfId="881" priority="337" stopIfTrue="1" operator="equal">
      <formula>"Pasa"</formula>
    </cfRule>
    <cfRule type="cellIs" dxfId="880" priority="338" stopIfTrue="1" operator="equal">
      <formula>"Falla"</formula>
    </cfRule>
    <cfRule type="expression" dxfId="879" priority="336" stopIfTrue="1">
      <formula>ISBLANK(D171)</formula>
    </cfRule>
    <cfRule type="cellIs" dxfId="878" priority="335" stopIfTrue="1" operator="equal">
      <formula>"-"</formula>
    </cfRule>
  </conditionalFormatting>
  <conditionalFormatting sqref="D209:D243">
    <cfRule type="cellIs" dxfId="877" priority="334" stopIfTrue="1" operator="equal">
      <formula>"N/D"</formula>
    </cfRule>
    <cfRule type="cellIs" dxfId="876" priority="328" stopIfTrue="1" operator="equal">
      <formula>"-"</formula>
    </cfRule>
    <cfRule type="expression" dxfId="875" priority="329" stopIfTrue="1">
      <formula>ISBLANK(D209)</formula>
    </cfRule>
    <cfRule type="cellIs" dxfId="874" priority="330" stopIfTrue="1" operator="equal">
      <formula>"Pasa"</formula>
    </cfRule>
    <cfRule type="cellIs" dxfId="873" priority="331" stopIfTrue="1" operator="equal">
      <formula>"Falla"</formula>
    </cfRule>
    <cfRule type="cellIs" dxfId="872" priority="332" stopIfTrue="1" operator="equal">
      <formula>"N/A"</formula>
    </cfRule>
    <cfRule type="cellIs" dxfId="871" priority="333" stopIfTrue="1" operator="equal">
      <formula>"N/T"</formula>
    </cfRule>
  </conditionalFormatting>
  <conditionalFormatting sqref="D247:D281">
    <cfRule type="cellIs" dxfId="870" priority="321" stopIfTrue="1" operator="equal">
      <formula>"-"</formula>
    </cfRule>
    <cfRule type="expression" dxfId="869" priority="322" stopIfTrue="1">
      <formula>ISBLANK(D247)</formula>
    </cfRule>
    <cfRule type="cellIs" dxfId="868" priority="323" stopIfTrue="1" operator="equal">
      <formula>"Pasa"</formula>
    </cfRule>
    <cfRule type="cellIs" dxfId="867" priority="324" stopIfTrue="1" operator="equal">
      <formula>"Falla"</formula>
    </cfRule>
    <cfRule type="cellIs" dxfId="866" priority="325" stopIfTrue="1" operator="equal">
      <formula>"N/A"</formula>
    </cfRule>
    <cfRule type="cellIs" dxfId="865" priority="326" stopIfTrue="1" operator="equal">
      <formula>"N/T"</formula>
    </cfRule>
    <cfRule type="cellIs" dxfId="864" priority="327" stopIfTrue="1" operator="equal">
      <formula>"N/D"</formula>
    </cfRule>
  </conditionalFormatting>
  <conditionalFormatting sqref="D285:D319">
    <cfRule type="cellIs" dxfId="863" priority="319" stopIfTrue="1" operator="equal">
      <formula>"N/T"</formula>
    </cfRule>
    <cfRule type="cellIs" dxfId="862" priority="320" stopIfTrue="1" operator="equal">
      <formula>"N/D"</formula>
    </cfRule>
    <cfRule type="cellIs" dxfId="861" priority="318" stopIfTrue="1" operator="equal">
      <formula>"N/A"</formula>
    </cfRule>
    <cfRule type="cellIs" dxfId="860" priority="317" stopIfTrue="1" operator="equal">
      <formula>"Falla"</formula>
    </cfRule>
    <cfRule type="cellIs" dxfId="859" priority="316" stopIfTrue="1" operator="equal">
      <formula>"Pasa"</formula>
    </cfRule>
    <cfRule type="expression" dxfId="858" priority="315" stopIfTrue="1">
      <formula>ISBLANK(D285)</formula>
    </cfRule>
    <cfRule type="cellIs" dxfId="857" priority="314" stopIfTrue="1" operator="equal">
      <formula>"-"</formula>
    </cfRule>
  </conditionalFormatting>
  <conditionalFormatting sqref="D323:D357">
    <cfRule type="cellIs" dxfId="856" priority="307" stopIfTrue="1" operator="equal">
      <formula>"-"</formula>
    </cfRule>
    <cfRule type="cellIs" dxfId="855" priority="309" stopIfTrue="1" operator="equal">
      <formula>"Pasa"</formula>
    </cfRule>
    <cfRule type="cellIs" dxfId="854" priority="310" stopIfTrue="1" operator="equal">
      <formula>"Falla"</formula>
    </cfRule>
    <cfRule type="cellIs" dxfId="853" priority="311" stopIfTrue="1" operator="equal">
      <formula>"N/A"</formula>
    </cfRule>
    <cfRule type="cellIs" dxfId="852" priority="312" stopIfTrue="1" operator="equal">
      <formula>"N/T"</formula>
    </cfRule>
    <cfRule type="cellIs" dxfId="851" priority="313" stopIfTrue="1" operator="equal">
      <formula>"N/D"</formula>
    </cfRule>
    <cfRule type="expression" dxfId="850" priority="308" stopIfTrue="1">
      <formula>ISBLANK(D323)</formula>
    </cfRule>
  </conditionalFormatting>
  <conditionalFormatting sqref="D361:D395">
    <cfRule type="cellIs" dxfId="849" priority="305" stopIfTrue="1" operator="equal">
      <formula>"N/T"</formula>
    </cfRule>
    <cfRule type="cellIs" dxfId="848" priority="300" stopIfTrue="1" operator="equal">
      <formula>"-"</formula>
    </cfRule>
    <cfRule type="cellIs" dxfId="847" priority="306" stopIfTrue="1" operator="equal">
      <formula>"N/D"</formula>
    </cfRule>
    <cfRule type="expression" dxfId="846" priority="301" stopIfTrue="1">
      <formula>ISBLANK(D361)</formula>
    </cfRule>
    <cfRule type="cellIs" dxfId="845" priority="302" stopIfTrue="1" operator="equal">
      <formula>"Pasa"</formula>
    </cfRule>
    <cfRule type="cellIs" dxfId="844" priority="303" stopIfTrue="1" operator="equal">
      <formula>"Falla"</formula>
    </cfRule>
    <cfRule type="cellIs" dxfId="843" priority="304" stopIfTrue="1" operator="equal">
      <formula>"N/A"</formula>
    </cfRule>
  </conditionalFormatting>
  <conditionalFormatting sqref="D399:D433">
    <cfRule type="cellIs" dxfId="842" priority="299" stopIfTrue="1" operator="equal">
      <formula>"N/D"</formula>
    </cfRule>
    <cfRule type="cellIs" dxfId="841" priority="298" stopIfTrue="1" operator="equal">
      <formula>"N/T"</formula>
    </cfRule>
    <cfRule type="cellIs" dxfId="840" priority="297" stopIfTrue="1" operator="equal">
      <formula>"N/A"</formula>
    </cfRule>
    <cfRule type="cellIs" dxfId="839" priority="296" stopIfTrue="1" operator="equal">
      <formula>"Falla"</formula>
    </cfRule>
    <cfRule type="cellIs" dxfId="838" priority="295" stopIfTrue="1" operator="equal">
      <formula>"Pasa"</formula>
    </cfRule>
    <cfRule type="expression" dxfId="837" priority="294" stopIfTrue="1">
      <formula>ISBLANK(D399)</formula>
    </cfRule>
    <cfRule type="cellIs" dxfId="836" priority="293" stopIfTrue="1" operator="equal">
      <formula>"-"</formula>
    </cfRule>
  </conditionalFormatting>
  <conditionalFormatting sqref="D437:D471">
    <cfRule type="cellIs" dxfId="835" priority="292" stopIfTrue="1" operator="equal">
      <formula>"N/D"</formula>
    </cfRule>
    <cfRule type="cellIs" dxfId="834" priority="291" stopIfTrue="1" operator="equal">
      <formula>"N/T"</formula>
    </cfRule>
    <cfRule type="cellIs" dxfId="833" priority="290" stopIfTrue="1" operator="equal">
      <formula>"N/A"</formula>
    </cfRule>
    <cfRule type="cellIs" dxfId="832" priority="289" stopIfTrue="1" operator="equal">
      <formula>"Falla"</formula>
    </cfRule>
    <cfRule type="cellIs" dxfId="831" priority="288" stopIfTrue="1" operator="equal">
      <formula>"Pasa"</formula>
    </cfRule>
    <cfRule type="expression" dxfId="830" priority="287" stopIfTrue="1">
      <formula>ISBLANK(D437)</formula>
    </cfRule>
    <cfRule type="cellIs" dxfId="829" priority="286" stopIfTrue="1" operator="equal">
      <formula>"-"</formula>
    </cfRule>
  </conditionalFormatting>
  <conditionalFormatting sqref="D475:D509">
    <cfRule type="expression" dxfId="828" priority="280" stopIfTrue="1">
      <formula>ISBLANK(D475)</formula>
    </cfRule>
    <cfRule type="cellIs" dxfId="827" priority="284" stopIfTrue="1" operator="equal">
      <formula>"N/T"</formula>
    </cfRule>
    <cfRule type="cellIs" dxfId="826" priority="285" stopIfTrue="1" operator="equal">
      <formula>"N/D"</formula>
    </cfRule>
    <cfRule type="cellIs" dxfId="825" priority="279" stopIfTrue="1" operator="equal">
      <formula>"-"</formula>
    </cfRule>
    <cfRule type="cellIs" dxfId="824" priority="283" stopIfTrue="1" operator="equal">
      <formula>"N/A"</formula>
    </cfRule>
    <cfRule type="cellIs" dxfId="823" priority="282" stopIfTrue="1" operator="equal">
      <formula>"Falla"</formula>
    </cfRule>
    <cfRule type="cellIs" dxfId="822" priority="281" stopIfTrue="1" operator="equal">
      <formula>"Pasa"</formula>
    </cfRule>
  </conditionalFormatting>
  <conditionalFormatting sqref="D513:D547">
    <cfRule type="cellIs" dxfId="821" priority="278" stopIfTrue="1" operator="equal">
      <formula>"N/D"</formula>
    </cfRule>
    <cfRule type="cellIs" dxfId="820" priority="277" stopIfTrue="1" operator="equal">
      <formula>"N/T"</formula>
    </cfRule>
    <cfRule type="cellIs" dxfId="819" priority="276" stopIfTrue="1" operator="equal">
      <formula>"N/A"</formula>
    </cfRule>
    <cfRule type="cellIs" dxfId="818" priority="275" stopIfTrue="1" operator="equal">
      <formula>"Falla"</formula>
    </cfRule>
    <cfRule type="cellIs" dxfId="817" priority="274" stopIfTrue="1" operator="equal">
      <formula>"Pasa"</formula>
    </cfRule>
    <cfRule type="expression" dxfId="816" priority="273" stopIfTrue="1">
      <formula>ISBLANK(D513)</formula>
    </cfRule>
    <cfRule type="cellIs" dxfId="815" priority="272" stopIfTrue="1" operator="equal">
      <formula>"-"</formula>
    </cfRule>
  </conditionalFormatting>
  <conditionalFormatting sqref="D551:D585">
    <cfRule type="cellIs" dxfId="814" priority="271" stopIfTrue="1" operator="equal">
      <formula>"N/D"</formula>
    </cfRule>
    <cfRule type="cellIs" dxfId="813" priority="270" stopIfTrue="1" operator="equal">
      <formula>"N/T"</formula>
    </cfRule>
    <cfRule type="cellIs" dxfId="812" priority="269" stopIfTrue="1" operator="equal">
      <formula>"N/A"</formula>
    </cfRule>
    <cfRule type="cellIs" dxfId="811" priority="268" stopIfTrue="1" operator="equal">
      <formula>"Falla"</formula>
    </cfRule>
    <cfRule type="cellIs" dxfId="810" priority="267" stopIfTrue="1" operator="equal">
      <formula>"Pasa"</formula>
    </cfRule>
    <cfRule type="expression" dxfId="809" priority="266" stopIfTrue="1">
      <formula>ISBLANK(D551)</formula>
    </cfRule>
    <cfRule type="cellIs" dxfId="808" priority="265" stopIfTrue="1" operator="equal">
      <formula>"-"</formula>
    </cfRule>
  </conditionalFormatting>
  <conditionalFormatting sqref="D589:D623">
    <cfRule type="cellIs" dxfId="807" priority="258" stopIfTrue="1" operator="equal">
      <formula>"-"</formula>
    </cfRule>
    <cfRule type="cellIs" dxfId="806" priority="262" stopIfTrue="1" operator="equal">
      <formula>"N/A"</formula>
    </cfRule>
    <cfRule type="cellIs" dxfId="805" priority="264" stopIfTrue="1" operator="equal">
      <formula>"N/D"</formula>
    </cfRule>
    <cfRule type="cellIs" dxfId="804" priority="261" stopIfTrue="1" operator="equal">
      <formula>"Falla"</formula>
    </cfRule>
    <cfRule type="cellIs" dxfId="803" priority="263" stopIfTrue="1" operator="equal">
      <formula>"N/T"</formula>
    </cfRule>
    <cfRule type="expression" dxfId="802" priority="259" stopIfTrue="1">
      <formula>ISBLANK(D589)</formula>
    </cfRule>
    <cfRule type="cellIs" dxfId="801" priority="260" stopIfTrue="1" operator="equal">
      <formula>"Pasa"</formula>
    </cfRule>
  </conditionalFormatting>
  <conditionalFormatting sqref="D627:D661">
    <cfRule type="cellIs" dxfId="800" priority="253" stopIfTrue="1" operator="equal">
      <formula>"Pasa"</formula>
    </cfRule>
    <cfRule type="cellIs" dxfId="799" priority="251" stopIfTrue="1" operator="equal">
      <formula>"-"</formula>
    </cfRule>
    <cfRule type="expression" dxfId="798" priority="252" stopIfTrue="1">
      <formula>ISBLANK(D627)</formula>
    </cfRule>
    <cfRule type="cellIs" dxfId="797" priority="255" stopIfTrue="1" operator="equal">
      <formula>"N/A"</formula>
    </cfRule>
    <cfRule type="cellIs" dxfId="796" priority="256" stopIfTrue="1" operator="equal">
      <formula>"N/T"</formula>
    </cfRule>
    <cfRule type="cellIs" dxfId="795" priority="257" stopIfTrue="1" operator="equal">
      <formula>"N/D"</formula>
    </cfRule>
    <cfRule type="cellIs" dxfId="794" priority="254" stopIfTrue="1" operator="equal">
      <formula>"Falla"</formula>
    </cfRule>
  </conditionalFormatting>
  <conditionalFormatting sqref="D665:D699">
    <cfRule type="cellIs" dxfId="793" priority="249" stopIfTrue="1" operator="equal">
      <formula>"N/T"</formula>
    </cfRule>
    <cfRule type="cellIs" dxfId="792" priority="248" stopIfTrue="1" operator="equal">
      <formula>"N/A"</formula>
    </cfRule>
    <cfRule type="cellIs" dxfId="791" priority="250" stopIfTrue="1" operator="equal">
      <formula>"N/D"</formula>
    </cfRule>
    <cfRule type="cellIs" dxfId="790" priority="247" stopIfTrue="1" operator="equal">
      <formula>"Falla"</formula>
    </cfRule>
    <cfRule type="cellIs" dxfId="789" priority="246" stopIfTrue="1" operator="equal">
      <formula>"Pasa"</formula>
    </cfRule>
    <cfRule type="cellIs" dxfId="788" priority="244" stopIfTrue="1" operator="equal">
      <formula>"-"</formula>
    </cfRule>
    <cfRule type="expression" dxfId="787" priority="245" stopIfTrue="1">
      <formula>ISBLANK(D665)</formula>
    </cfRule>
  </conditionalFormatting>
  <conditionalFormatting sqref="D703:D737">
    <cfRule type="cellIs" dxfId="786" priority="243" stopIfTrue="1" operator="equal">
      <formula>"N/D"</formula>
    </cfRule>
    <cfRule type="cellIs" dxfId="785" priority="242" stopIfTrue="1" operator="equal">
      <formula>"N/T"</formula>
    </cfRule>
    <cfRule type="cellIs" dxfId="784" priority="241" stopIfTrue="1" operator="equal">
      <formula>"N/A"</formula>
    </cfRule>
    <cfRule type="cellIs" dxfId="783" priority="240" stopIfTrue="1" operator="equal">
      <formula>"Falla"</formula>
    </cfRule>
    <cfRule type="cellIs" dxfId="782" priority="239" stopIfTrue="1" operator="equal">
      <formula>"Pasa"</formula>
    </cfRule>
    <cfRule type="expression" dxfId="781" priority="238" stopIfTrue="1">
      <formula>ISBLANK(D703)</formula>
    </cfRule>
    <cfRule type="cellIs" dxfId="780" priority="237" stopIfTrue="1" operator="equal">
      <formula>"-"</formula>
    </cfRule>
  </conditionalFormatting>
  <conditionalFormatting sqref="D741:D775">
    <cfRule type="cellIs" dxfId="779" priority="236" stopIfTrue="1" operator="equal">
      <formula>"N/D"</formula>
    </cfRule>
    <cfRule type="cellIs" dxfId="778" priority="235" stopIfTrue="1" operator="equal">
      <formula>"N/T"</formula>
    </cfRule>
    <cfRule type="cellIs" dxfId="777" priority="234" stopIfTrue="1" operator="equal">
      <formula>"N/A"</formula>
    </cfRule>
    <cfRule type="cellIs" dxfId="776" priority="233" stopIfTrue="1" operator="equal">
      <formula>"Falla"</formula>
    </cfRule>
    <cfRule type="cellIs" dxfId="775" priority="232" stopIfTrue="1" operator="equal">
      <formula>"Pasa"</formula>
    </cfRule>
    <cfRule type="expression" dxfId="774" priority="231" stopIfTrue="1">
      <formula>ISBLANK(D741)</formula>
    </cfRule>
    <cfRule type="cellIs" dxfId="773" priority="230" stopIfTrue="1" operator="equal">
      <formula>"-"</formula>
    </cfRule>
  </conditionalFormatting>
  <conditionalFormatting sqref="D779:D813">
    <cfRule type="cellIs" dxfId="772" priority="227" stopIfTrue="1" operator="equal">
      <formula>"N/A"</formula>
    </cfRule>
    <cfRule type="cellIs" dxfId="771" priority="229" stopIfTrue="1" operator="equal">
      <formula>"N/D"</formula>
    </cfRule>
    <cfRule type="cellIs" dxfId="770" priority="228" stopIfTrue="1" operator="equal">
      <formula>"N/T"</formula>
    </cfRule>
    <cfRule type="cellIs" dxfId="769" priority="226" stopIfTrue="1" operator="equal">
      <formula>"Falla"</formula>
    </cfRule>
    <cfRule type="cellIs" dxfId="768" priority="225" stopIfTrue="1" operator="equal">
      <formula>"Pasa"</formula>
    </cfRule>
    <cfRule type="expression" dxfId="767" priority="224" stopIfTrue="1">
      <formula>ISBLANK(D779)</formula>
    </cfRule>
    <cfRule type="cellIs" dxfId="766" priority="223" stopIfTrue="1" operator="equal">
      <formula>"-"</formula>
    </cfRule>
  </conditionalFormatting>
  <conditionalFormatting sqref="D817:D851">
    <cfRule type="cellIs" dxfId="765" priority="222" stopIfTrue="1" operator="equal">
      <formula>"N/D"</formula>
    </cfRule>
    <cfRule type="cellIs" dxfId="764" priority="221" stopIfTrue="1" operator="equal">
      <formula>"N/T"</formula>
    </cfRule>
    <cfRule type="cellIs" dxfId="763" priority="220" stopIfTrue="1" operator="equal">
      <formula>"N/A"</formula>
    </cfRule>
    <cfRule type="cellIs" dxfId="762" priority="219" stopIfTrue="1" operator="equal">
      <formula>"Falla"</formula>
    </cfRule>
    <cfRule type="cellIs" dxfId="761" priority="218" stopIfTrue="1" operator="equal">
      <formula>"Pasa"</formula>
    </cfRule>
    <cfRule type="expression" dxfId="760" priority="217" stopIfTrue="1">
      <formula>ISBLANK(D817)</formula>
    </cfRule>
    <cfRule type="cellIs" dxfId="759" priority="216" stopIfTrue="1" operator="equal">
      <formula>"-"</formula>
    </cfRule>
  </conditionalFormatting>
  <conditionalFormatting sqref="D855:D889">
    <cfRule type="cellIs" dxfId="758" priority="212" stopIfTrue="1" operator="equal">
      <formula>"Falla"</formula>
    </cfRule>
    <cfRule type="cellIs" dxfId="757" priority="213" stopIfTrue="1" operator="equal">
      <formula>"N/A"</formula>
    </cfRule>
    <cfRule type="cellIs" dxfId="756" priority="215" stopIfTrue="1" operator="equal">
      <formula>"N/D"</formula>
    </cfRule>
    <cfRule type="cellIs" dxfId="755" priority="214" stopIfTrue="1" operator="equal">
      <formula>"N/T"</formula>
    </cfRule>
    <cfRule type="cellIs" dxfId="754" priority="209" stopIfTrue="1" operator="equal">
      <formula>"-"</formula>
    </cfRule>
    <cfRule type="expression" dxfId="753" priority="210" stopIfTrue="1">
      <formula>ISBLANK(D855)</formula>
    </cfRule>
    <cfRule type="cellIs" dxfId="752" priority="211" stopIfTrue="1" operator="equal">
      <formula>"Pasa"</formula>
    </cfRule>
  </conditionalFormatting>
  <conditionalFormatting sqref="D893:D927">
    <cfRule type="expression" dxfId="751" priority="203" stopIfTrue="1">
      <formula>ISBLANK(D893)</formula>
    </cfRule>
    <cfRule type="cellIs" dxfId="750" priority="202" stopIfTrue="1" operator="equal">
      <formula>"-"</formula>
    </cfRule>
    <cfRule type="cellIs" dxfId="749" priority="204" stopIfTrue="1" operator="equal">
      <formula>"Pasa"</formula>
    </cfRule>
    <cfRule type="cellIs" dxfId="748" priority="205" stopIfTrue="1" operator="equal">
      <formula>"Falla"</formula>
    </cfRule>
    <cfRule type="cellIs" dxfId="747" priority="206" stopIfTrue="1" operator="equal">
      <formula>"N/A"</formula>
    </cfRule>
    <cfRule type="cellIs" dxfId="746" priority="207" stopIfTrue="1" operator="equal">
      <formula>"N/T"</formula>
    </cfRule>
    <cfRule type="cellIs" dxfId="745" priority="208" stopIfTrue="1" operator="equal">
      <formula>"N/D"</formula>
    </cfRule>
  </conditionalFormatting>
  <conditionalFormatting sqref="D931:D965">
    <cfRule type="cellIs" dxfId="744" priority="195" stopIfTrue="1" operator="equal">
      <formula>"-"</formula>
    </cfRule>
    <cfRule type="expression" dxfId="743" priority="196" stopIfTrue="1">
      <formula>ISBLANK(D931)</formula>
    </cfRule>
    <cfRule type="cellIs" dxfId="742" priority="197" stopIfTrue="1" operator="equal">
      <formula>"Pasa"</formula>
    </cfRule>
    <cfRule type="cellIs" dxfId="741" priority="198" stopIfTrue="1" operator="equal">
      <formula>"Falla"</formula>
    </cfRule>
    <cfRule type="cellIs" dxfId="740" priority="199" stopIfTrue="1" operator="equal">
      <formula>"N/A"</formula>
    </cfRule>
    <cfRule type="cellIs" dxfId="739" priority="200" stopIfTrue="1" operator="equal">
      <formula>"N/T"</formula>
    </cfRule>
    <cfRule type="cellIs" dxfId="738" priority="201" stopIfTrue="1" operator="equal">
      <formula>"N/D"</formula>
    </cfRule>
  </conditionalFormatting>
  <conditionalFormatting sqref="D969:D1003">
    <cfRule type="cellIs" dxfId="737" priority="188" stopIfTrue="1" operator="equal">
      <formula>"-"</formula>
    </cfRule>
    <cfRule type="cellIs" dxfId="736" priority="194" stopIfTrue="1" operator="equal">
      <formula>"N/D"</formula>
    </cfRule>
    <cfRule type="cellIs" dxfId="735" priority="193" stopIfTrue="1" operator="equal">
      <formula>"N/T"</formula>
    </cfRule>
    <cfRule type="cellIs" dxfId="734" priority="192" stopIfTrue="1" operator="equal">
      <formula>"N/A"</formula>
    </cfRule>
    <cfRule type="cellIs" dxfId="733" priority="191" stopIfTrue="1" operator="equal">
      <formula>"Falla"</formula>
    </cfRule>
    <cfRule type="cellIs" dxfId="732" priority="190" stopIfTrue="1" operator="equal">
      <formula>"Pasa"</formula>
    </cfRule>
    <cfRule type="expression" dxfId="731" priority="189" stopIfTrue="1">
      <formula>ISBLANK(D969)</formula>
    </cfRule>
  </conditionalFormatting>
  <conditionalFormatting sqref="D1007:D1041">
    <cfRule type="cellIs" dxfId="730" priority="181" stopIfTrue="1" operator="equal">
      <formula>"-"</formula>
    </cfRule>
  </conditionalFormatting>
  <conditionalFormatting sqref="D1007:D1042">
    <cfRule type="cellIs" dxfId="729" priority="184" stopIfTrue="1" operator="equal">
      <formula>"Falla"</formula>
    </cfRule>
    <cfRule type="cellIs" dxfId="728" priority="187" stopIfTrue="1" operator="equal">
      <formula>"N/D"</formula>
    </cfRule>
    <cfRule type="cellIs" dxfId="727" priority="186" stopIfTrue="1" operator="equal">
      <formula>"N/T"</formula>
    </cfRule>
    <cfRule type="cellIs" dxfId="726" priority="185" stopIfTrue="1" operator="equal">
      <formula>"N/A"</formula>
    </cfRule>
    <cfRule type="cellIs" dxfId="725" priority="183" stopIfTrue="1" operator="equal">
      <formula>"Pasa"</formula>
    </cfRule>
    <cfRule type="expression" dxfId="724" priority="182" stopIfTrue="1">
      <formula>ISBLANK(D1007)</formula>
    </cfRule>
  </conditionalFormatting>
  <conditionalFormatting sqref="D1045:D1079">
    <cfRule type="cellIs" dxfId="723" priority="180" stopIfTrue="1" operator="equal">
      <formula>"N/D"</formula>
    </cfRule>
    <cfRule type="cellIs" dxfId="722" priority="179" stopIfTrue="1" operator="equal">
      <formula>"N/T"</formula>
    </cfRule>
    <cfRule type="cellIs" dxfId="721" priority="178" stopIfTrue="1" operator="equal">
      <formula>"N/A"</formula>
    </cfRule>
    <cfRule type="cellIs" dxfId="720" priority="177" stopIfTrue="1" operator="equal">
      <formula>"Falla"</formula>
    </cfRule>
    <cfRule type="cellIs" dxfId="719" priority="176" stopIfTrue="1" operator="equal">
      <formula>"Pasa"</formula>
    </cfRule>
    <cfRule type="expression" dxfId="718" priority="175" stopIfTrue="1">
      <formula>ISBLANK(D1045)</formula>
    </cfRule>
    <cfRule type="cellIs" dxfId="717" priority="174" stopIfTrue="1" operator="equal">
      <formula>"-"</formula>
    </cfRule>
  </conditionalFormatting>
  <conditionalFormatting sqref="D1083:D1117">
    <cfRule type="cellIs" dxfId="716" priority="173" stopIfTrue="1" operator="equal">
      <formula>"N/D"</formula>
    </cfRule>
    <cfRule type="cellIs" dxfId="715" priority="172" stopIfTrue="1" operator="equal">
      <formula>"N/T"</formula>
    </cfRule>
    <cfRule type="cellIs" dxfId="714" priority="171" stopIfTrue="1" operator="equal">
      <formula>"N/A"</formula>
    </cfRule>
    <cfRule type="cellIs" dxfId="713" priority="170" stopIfTrue="1" operator="equal">
      <formula>"Falla"</formula>
    </cfRule>
    <cfRule type="cellIs" dxfId="712" priority="169" stopIfTrue="1" operator="equal">
      <formula>"Pasa"</formula>
    </cfRule>
    <cfRule type="expression" dxfId="711" priority="168" stopIfTrue="1">
      <formula>ISBLANK(D1083)</formula>
    </cfRule>
    <cfRule type="cellIs" dxfId="710" priority="167" stopIfTrue="1" operator="equal">
      <formula>"-"</formula>
    </cfRule>
  </conditionalFormatting>
  <conditionalFormatting sqref="D1121:D1155">
    <cfRule type="cellIs" dxfId="709" priority="166" stopIfTrue="1" operator="equal">
      <formula>"N/D"</formula>
    </cfRule>
    <cfRule type="cellIs" dxfId="708" priority="165" stopIfTrue="1" operator="equal">
      <formula>"N/T"</formula>
    </cfRule>
    <cfRule type="cellIs" dxfId="707" priority="164" stopIfTrue="1" operator="equal">
      <formula>"N/A"</formula>
    </cfRule>
    <cfRule type="cellIs" dxfId="706" priority="163" stopIfTrue="1" operator="equal">
      <formula>"Falla"</formula>
    </cfRule>
    <cfRule type="cellIs" dxfId="705" priority="162" stopIfTrue="1" operator="equal">
      <formula>"Pasa"</formula>
    </cfRule>
    <cfRule type="expression" dxfId="704" priority="161" stopIfTrue="1">
      <formula>ISBLANK(D1121)</formula>
    </cfRule>
    <cfRule type="cellIs" dxfId="703" priority="160" stopIfTrue="1" operator="equal">
      <formula>"-"</formula>
    </cfRule>
  </conditionalFormatting>
  <conditionalFormatting sqref="D1159:D1193">
    <cfRule type="cellIs" dxfId="702" priority="159" stopIfTrue="1" operator="equal">
      <formula>"N/D"</formula>
    </cfRule>
    <cfRule type="cellIs" dxfId="701" priority="158" stopIfTrue="1" operator="equal">
      <formula>"N/T"</formula>
    </cfRule>
    <cfRule type="cellIs" dxfId="700" priority="157" stopIfTrue="1" operator="equal">
      <formula>"N/A"</formula>
    </cfRule>
    <cfRule type="cellIs" dxfId="699" priority="156" stopIfTrue="1" operator="equal">
      <formula>"Falla"</formula>
    </cfRule>
    <cfRule type="cellIs" dxfId="698" priority="155" stopIfTrue="1" operator="equal">
      <formula>"Pasa"</formula>
    </cfRule>
    <cfRule type="expression" dxfId="697" priority="154" stopIfTrue="1">
      <formula>ISBLANK(D1159)</formula>
    </cfRule>
    <cfRule type="cellIs" dxfId="696" priority="153" stopIfTrue="1" operator="equal">
      <formula>"-"</formula>
    </cfRule>
  </conditionalFormatting>
  <conditionalFormatting sqref="D1197:D1231">
    <cfRule type="cellIs" dxfId="695" priority="149" stopIfTrue="1" operator="equal">
      <formula>"Falla"</formula>
    </cfRule>
    <cfRule type="cellIs" dxfId="694" priority="146" stopIfTrue="1" operator="equal">
      <formula>"-"</formula>
    </cfRule>
    <cfRule type="expression" dxfId="693" priority="147" stopIfTrue="1">
      <formula>ISBLANK(D1197)</formula>
    </cfRule>
    <cfRule type="cellIs" dxfId="692" priority="148" stopIfTrue="1" operator="equal">
      <formula>"Pasa"</formula>
    </cfRule>
    <cfRule type="cellIs" dxfId="691" priority="152" stopIfTrue="1" operator="equal">
      <formula>"N/D"</formula>
    </cfRule>
    <cfRule type="cellIs" dxfId="690" priority="151" stopIfTrue="1" operator="equal">
      <formula>"N/T"</formula>
    </cfRule>
    <cfRule type="cellIs" dxfId="689" priority="150" stopIfTrue="1" operator="equal">
      <formula>"N/A"</formula>
    </cfRule>
  </conditionalFormatting>
  <conditionalFormatting sqref="D1235:D1269">
    <cfRule type="cellIs" dxfId="688" priority="139" stopIfTrue="1" operator="equal">
      <formula>"-"</formula>
    </cfRule>
    <cfRule type="expression" dxfId="687" priority="140" stopIfTrue="1">
      <formula>ISBLANK(D1235)</formula>
    </cfRule>
    <cfRule type="cellIs" dxfId="686" priority="141" stopIfTrue="1" operator="equal">
      <formula>"Pasa"</formula>
    </cfRule>
    <cfRule type="cellIs" dxfId="685" priority="142" stopIfTrue="1" operator="equal">
      <formula>"Falla"</formula>
    </cfRule>
    <cfRule type="cellIs" dxfId="684" priority="143" stopIfTrue="1" operator="equal">
      <formula>"N/A"</formula>
    </cfRule>
    <cfRule type="cellIs" dxfId="683" priority="144" stopIfTrue="1" operator="equal">
      <formula>"N/T"</formula>
    </cfRule>
    <cfRule type="cellIs" dxfId="682" priority="145" stopIfTrue="1" operator="equal">
      <formula>"N/D"</formula>
    </cfRule>
  </conditionalFormatting>
  <conditionalFormatting sqref="D1273:D1307">
    <cfRule type="cellIs" dxfId="681" priority="136" stopIfTrue="1" operator="equal">
      <formula>"N/A"</formula>
    </cfRule>
    <cfRule type="cellIs" dxfId="680" priority="137" stopIfTrue="1" operator="equal">
      <formula>"N/T"</formula>
    </cfRule>
    <cfRule type="cellIs" dxfId="679" priority="138" stopIfTrue="1" operator="equal">
      <formula>"N/D"</formula>
    </cfRule>
    <cfRule type="cellIs" dxfId="678" priority="135" stopIfTrue="1" operator="equal">
      <formula>"Falla"</formula>
    </cfRule>
    <cfRule type="cellIs" dxfId="677" priority="134" stopIfTrue="1" operator="equal">
      <formula>"Pasa"</formula>
    </cfRule>
    <cfRule type="expression" dxfId="676" priority="133" stopIfTrue="1">
      <formula>ISBLANK(D1273)</formula>
    </cfRule>
    <cfRule type="cellIs" dxfId="675" priority="132" stopIfTrue="1" operator="equal">
      <formula>"-"</formula>
    </cfRule>
  </conditionalFormatting>
  <conditionalFormatting sqref="D1311:D1345">
    <cfRule type="cellIs" dxfId="674" priority="131" stopIfTrue="1" operator="equal">
      <formula>"N/D"</formula>
    </cfRule>
    <cfRule type="cellIs" dxfId="673" priority="130" stopIfTrue="1" operator="equal">
      <formula>"N/T"</formula>
    </cfRule>
    <cfRule type="cellIs" dxfId="672" priority="129" stopIfTrue="1" operator="equal">
      <formula>"N/A"</formula>
    </cfRule>
    <cfRule type="cellIs" dxfId="671" priority="128" stopIfTrue="1" operator="equal">
      <formula>"Falla"</formula>
    </cfRule>
    <cfRule type="cellIs" dxfId="670" priority="127" stopIfTrue="1" operator="equal">
      <formula>"Pasa"</formula>
    </cfRule>
    <cfRule type="expression" dxfId="669" priority="126" stopIfTrue="1">
      <formula>ISBLANK(D1311)</formula>
    </cfRule>
    <cfRule type="cellIs" dxfId="668" priority="125" stopIfTrue="1" operator="equal">
      <formula>"-"</formula>
    </cfRule>
  </conditionalFormatting>
  <conditionalFormatting sqref="D1349:D1383">
    <cfRule type="cellIs" dxfId="667" priority="122" stopIfTrue="1" operator="equal">
      <formula>"N/A"</formula>
    </cfRule>
    <cfRule type="cellIs" dxfId="666" priority="123" stopIfTrue="1" operator="equal">
      <formula>"N/T"</formula>
    </cfRule>
    <cfRule type="cellIs" dxfId="665" priority="124" stopIfTrue="1" operator="equal">
      <formula>"N/D"</formula>
    </cfRule>
    <cfRule type="cellIs" dxfId="664" priority="118" stopIfTrue="1" operator="equal">
      <formula>"-"</formula>
    </cfRule>
    <cfRule type="expression" dxfId="663" priority="119" stopIfTrue="1">
      <formula>ISBLANK(D1349)</formula>
    </cfRule>
    <cfRule type="cellIs" dxfId="662" priority="120" stopIfTrue="1" operator="equal">
      <formula>"Pasa"</formula>
    </cfRule>
    <cfRule type="cellIs" dxfId="661" priority="121" stopIfTrue="1" operator="equal">
      <formula>"Falla"</formula>
    </cfRule>
  </conditionalFormatting>
  <conditionalFormatting sqref="D1387:D1421">
    <cfRule type="cellIs" dxfId="660" priority="111" stopIfTrue="1" operator="equal">
      <formula>"-"</formula>
    </cfRule>
    <cfRule type="cellIs" dxfId="659" priority="115" stopIfTrue="1" operator="equal">
      <formula>"N/A"</formula>
    </cfRule>
    <cfRule type="expression" dxfId="658" priority="112" stopIfTrue="1">
      <formula>ISBLANK(D1387)</formula>
    </cfRule>
    <cfRule type="cellIs" dxfId="657" priority="113" stopIfTrue="1" operator="equal">
      <formula>"Pasa"</formula>
    </cfRule>
    <cfRule type="cellIs" dxfId="656" priority="114" stopIfTrue="1" operator="equal">
      <formula>"Falla"</formula>
    </cfRule>
    <cfRule type="cellIs" dxfId="655" priority="116" stopIfTrue="1" operator="equal">
      <formula>"N/T"</formula>
    </cfRule>
    <cfRule type="cellIs" dxfId="654" priority="117" stopIfTrue="1" operator="equal">
      <formula>"N/D"</formula>
    </cfRule>
  </conditionalFormatting>
  <conditionalFormatting sqref="D1425:D1459">
    <cfRule type="cellIs" dxfId="653" priority="110" stopIfTrue="1" operator="equal">
      <formula>"N/D"</formula>
    </cfRule>
    <cfRule type="cellIs" dxfId="652" priority="109" stopIfTrue="1" operator="equal">
      <formula>"N/T"</formula>
    </cfRule>
    <cfRule type="cellIs" dxfId="651" priority="108" stopIfTrue="1" operator="equal">
      <formula>"N/A"</formula>
    </cfRule>
    <cfRule type="cellIs" dxfId="650" priority="107" stopIfTrue="1" operator="equal">
      <formula>"Falla"</formula>
    </cfRule>
    <cfRule type="cellIs" dxfId="649" priority="106" stopIfTrue="1" operator="equal">
      <formula>"Pasa"</formula>
    </cfRule>
    <cfRule type="cellIs" dxfId="648" priority="104" stopIfTrue="1" operator="equal">
      <formula>"-"</formula>
    </cfRule>
    <cfRule type="expression" dxfId="647" priority="105" stopIfTrue="1">
      <formula>ISBLANK(D1425)</formula>
    </cfRule>
  </conditionalFormatting>
  <conditionalFormatting sqref="D1463:D1497">
    <cfRule type="cellIs" dxfId="646" priority="99" stopIfTrue="1" operator="equal">
      <formula>"Pasa"</formula>
    </cfRule>
    <cfRule type="cellIs" dxfId="645" priority="103" stopIfTrue="1" operator="equal">
      <formula>"N/D"</formula>
    </cfRule>
    <cfRule type="cellIs" dxfId="644" priority="102" stopIfTrue="1" operator="equal">
      <formula>"N/T"</formula>
    </cfRule>
    <cfRule type="cellIs" dxfId="643" priority="101" stopIfTrue="1" operator="equal">
      <formula>"N/A"</formula>
    </cfRule>
    <cfRule type="cellIs" dxfId="642" priority="100" stopIfTrue="1" operator="equal">
      <formula>"Falla"</formula>
    </cfRule>
    <cfRule type="expression" dxfId="641" priority="98" stopIfTrue="1">
      <formula>ISBLANK(D1463)</formula>
    </cfRule>
    <cfRule type="cellIs" dxfId="640" priority="97" stopIfTrue="1" operator="equal">
      <formula>"-"</formula>
    </cfRule>
  </conditionalFormatting>
  <conditionalFormatting sqref="D1501:D1535">
    <cfRule type="cellIs" dxfId="639" priority="96" stopIfTrue="1" operator="equal">
      <formula>"N/D"</formula>
    </cfRule>
    <cfRule type="cellIs" dxfId="638" priority="95" stopIfTrue="1" operator="equal">
      <formula>"N/T"</formula>
    </cfRule>
    <cfRule type="cellIs" dxfId="637" priority="94" stopIfTrue="1" operator="equal">
      <formula>"N/A"</formula>
    </cfRule>
    <cfRule type="cellIs" dxfId="636" priority="93" stopIfTrue="1" operator="equal">
      <formula>"Falla"</formula>
    </cfRule>
    <cfRule type="cellIs" dxfId="635" priority="92" stopIfTrue="1" operator="equal">
      <formula>"Pasa"</formula>
    </cfRule>
    <cfRule type="cellIs" dxfId="634" priority="90" stopIfTrue="1" operator="equal">
      <formula>"-"</formula>
    </cfRule>
    <cfRule type="expression" dxfId="633" priority="91" stopIfTrue="1">
      <formula>ISBLANK(D1501)</formula>
    </cfRule>
  </conditionalFormatting>
  <conditionalFormatting sqref="D1539:D1573">
    <cfRule type="cellIs" dxfId="632" priority="83" stopIfTrue="1" operator="equal">
      <formula>"-"</formula>
    </cfRule>
    <cfRule type="cellIs" dxfId="631" priority="89" stopIfTrue="1" operator="equal">
      <formula>"N/D"</formula>
    </cfRule>
    <cfRule type="cellIs" dxfId="630" priority="88" stopIfTrue="1" operator="equal">
      <formula>"N/T"</formula>
    </cfRule>
    <cfRule type="cellIs" dxfId="629" priority="87" stopIfTrue="1" operator="equal">
      <formula>"N/A"</formula>
    </cfRule>
    <cfRule type="cellIs" dxfId="628" priority="86" stopIfTrue="1" operator="equal">
      <formula>"Falla"</formula>
    </cfRule>
    <cfRule type="cellIs" dxfId="627" priority="85" stopIfTrue="1" operator="equal">
      <formula>"Pasa"</formula>
    </cfRule>
    <cfRule type="expression" dxfId="626" priority="84" stopIfTrue="1">
      <formula>ISBLANK(D1539)</formula>
    </cfRule>
  </conditionalFormatting>
  <conditionalFormatting sqref="D1577:D1611">
    <cfRule type="cellIs" dxfId="625" priority="82" stopIfTrue="1" operator="equal">
      <formula>"N/D"</formula>
    </cfRule>
    <cfRule type="cellIs" dxfId="624" priority="81" stopIfTrue="1" operator="equal">
      <formula>"N/T"</formula>
    </cfRule>
    <cfRule type="cellIs" dxfId="623" priority="80" stopIfTrue="1" operator="equal">
      <formula>"N/A"</formula>
    </cfRule>
    <cfRule type="cellIs" dxfId="622" priority="79" stopIfTrue="1" operator="equal">
      <formula>"Falla"</formula>
    </cfRule>
    <cfRule type="cellIs" dxfId="621" priority="78" stopIfTrue="1" operator="equal">
      <formula>"Pasa"</formula>
    </cfRule>
    <cfRule type="expression" dxfId="620" priority="77" stopIfTrue="1">
      <formula>ISBLANK(D1577)</formula>
    </cfRule>
    <cfRule type="cellIs" dxfId="619" priority="76" stopIfTrue="1" operator="equal">
      <formula>"-"</formula>
    </cfRule>
  </conditionalFormatting>
  <conditionalFormatting sqref="D1615:D1649">
    <cfRule type="expression" dxfId="618" priority="70" stopIfTrue="1">
      <formula>ISBLANK(D1615)</formula>
    </cfRule>
    <cfRule type="cellIs" dxfId="617" priority="69" stopIfTrue="1" operator="equal">
      <formula>"-"</formula>
    </cfRule>
    <cfRule type="cellIs" dxfId="616" priority="75" stopIfTrue="1" operator="equal">
      <formula>"N/D"</formula>
    </cfRule>
    <cfRule type="cellIs" dxfId="615" priority="74" stopIfTrue="1" operator="equal">
      <formula>"N/T"</formula>
    </cfRule>
    <cfRule type="cellIs" dxfId="614" priority="73" stopIfTrue="1" operator="equal">
      <formula>"N/A"</formula>
    </cfRule>
    <cfRule type="cellIs" dxfId="613" priority="72" stopIfTrue="1" operator="equal">
      <formula>"Falla"</formula>
    </cfRule>
    <cfRule type="cellIs" dxfId="612" priority="71" stopIfTrue="1" operator="equal">
      <formula>"Pasa"</formula>
    </cfRule>
  </conditionalFormatting>
  <conditionalFormatting sqref="D1653:D1687">
    <cfRule type="cellIs" dxfId="611" priority="68" stopIfTrue="1" operator="equal">
      <formula>"N/D"</formula>
    </cfRule>
    <cfRule type="cellIs" dxfId="610" priority="67" stopIfTrue="1" operator="equal">
      <formula>"N/T"</formula>
    </cfRule>
    <cfRule type="cellIs" dxfId="609" priority="66" stopIfTrue="1" operator="equal">
      <formula>"N/A"</formula>
    </cfRule>
    <cfRule type="cellIs" dxfId="608" priority="62" stopIfTrue="1" operator="equal">
      <formula>"-"</formula>
    </cfRule>
    <cfRule type="expression" dxfId="607" priority="63" stopIfTrue="1">
      <formula>ISBLANK(D1653)</formula>
    </cfRule>
    <cfRule type="cellIs" dxfId="606" priority="64" stopIfTrue="1" operator="equal">
      <formula>"Pasa"</formula>
    </cfRule>
    <cfRule type="cellIs" dxfId="605" priority="65" stopIfTrue="1" operator="equal">
      <formula>"Falla"</formula>
    </cfRule>
  </conditionalFormatting>
  <conditionalFormatting sqref="D1691:D1725">
    <cfRule type="cellIs" dxfId="604" priority="57" stopIfTrue="1" operator="equal">
      <formula>"Pasa"</formula>
    </cfRule>
    <cfRule type="cellIs" dxfId="603" priority="59" stopIfTrue="1" operator="equal">
      <formula>"N/A"</formula>
    </cfRule>
    <cfRule type="cellIs" dxfId="602" priority="58" stopIfTrue="1" operator="equal">
      <formula>"Falla"</formula>
    </cfRule>
    <cfRule type="cellIs" dxfId="601" priority="61" stopIfTrue="1" operator="equal">
      <formula>"N/D"</formula>
    </cfRule>
    <cfRule type="cellIs" dxfId="600" priority="60" stopIfTrue="1" operator="equal">
      <formula>"N/T"</formula>
    </cfRule>
    <cfRule type="expression" dxfId="599" priority="56" stopIfTrue="1">
      <formula>ISBLANK(D1691)</formula>
    </cfRule>
    <cfRule type="cellIs" dxfId="598" priority="55" stopIfTrue="1" operator="equal">
      <formula>"-"</formula>
    </cfRule>
  </conditionalFormatting>
  <conditionalFormatting sqref="D1729:D1763">
    <cfRule type="cellIs" dxfId="597" priority="54" stopIfTrue="1" operator="equal">
      <formula>"N/D"</formula>
    </cfRule>
    <cfRule type="cellIs" dxfId="596" priority="53" stopIfTrue="1" operator="equal">
      <formula>"N/T"</formula>
    </cfRule>
    <cfRule type="cellIs" dxfId="595" priority="52" stopIfTrue="1" operator="equal">
      <formula>"N/A"</formula>
    </cfRule>
    <cfRule type="cellIs" dxfId="594" priority="51" stopIfTrue="1" operator="equal">
      <formula>"Falla"</formula>
    </cfRule>
    <cfRule type="cellIs" dxfId="593" priority="50" stopIfTrue="1" operator="equal">
      <formula>"Pasa"</formula>
    </cfRule>
    <cfRule type="expression" dxfId="592" priority="49" stopIfTrue="1">
      <formula>ISBLANK(D1729)</formula>
    </cfRule>
    <cfRule type="cellIs" dxfId="591" priority="48" stopIfTrue="1" operator="equal">
      <formula>"-"</formula>
    </cfRule>
  </conditionalFormatting>
  <conditionalFormatting sqref="D1767:D1801">
    <cfRule type="cellIs" dxfId="590" priority="47" stopIfTrue="1" operator="equal">
      <formula>"N/D"</formula>
    </cfRule>
    <cfRule type="cellIs" dxfId="589" priority="46" stopIfTrue="1" operator="equal">
      <formula>"N/T"</formula>
    </cfRule>
    <cfRule type="cellIs" dxfId="588" priority="45" stopIfTrue="1" operator="equal">
      <formula>"N/A"</formula>
    </cfRule>
    <cfRule type="cellIs" dxfId="587" priority="44" stopIfTrue="1" operator="equal">
      <formula>"Falla"</formula>
    </cfRule>
    <cfRule type="cellIs" dxfId="586" priority="43" stopIfTrue="1" operator="equal">
      <formula>"Pasa"</formula>
    </cfRule>
    <cfRule type="expression" dxfId="585" priority="42" stopIfTrue="1">
      <formula>ISBLANK(D1767)</formula>
    </cfRule>
    <cfRule type="cellIs" dxfId="584" priority="41" stopIfTrue="1" operator="equal">
      <formula>"-"</formula>
    </cfRule>
  </conditionalFormatting>
  <conditionalFormatting sqref="D1805:D1839">
    <cfRule type="cellIs" dxfId="583" priority="40" stopIfTrue="1" operator="equal">
      <formula>"N/D"</formula>
    </cfRule>
    <cfRule type="cellIs" dxfId="582" priority="39" stopIfTrue="1" operator="equal">
      <formula>"N/T"</formula>
    </cfRule>
    <cfRule type="cellIs" dxfId="581" priority="38" stopIfTrue="1" operator="equal">
      <formula>"N/A"</formula>
    </cfRule>
    <cfRule type="cellIs" dxfId="580" priority="37" stopIfTrue="1" operator="equal">
      <formula>"Falla"</formula>
    </cfRule>
    <cfRule type="cellIs" dxfId="579" priority="36" stopIfTrue="1" operator="equal">
      <formula>"Pasa"</formula>
    </cfRule>
    <cfRule type="expression" dxfId="578" priority="35" stopIfTrue="1">
      <formula>ISBLANK(D1805)</formula>
    </cfRule>
    <cfRule type="cellIs" dxfId="577" priority="34" stopIfTrue="1" operator="equal">
      <formula>"-"</formula>
    </cfRule>
  </conditionalFormatting>
  <conditionalFormatting sqref="D1843:D1877">
    <cfRule type="cellIs" dxfId="576" priority="33" stopIfTrue="1" operator="equal">
      <formula>"N/D"</formula>
    </cfRule>
    <cfRule type="cellIs" dxfId="575" priority="32" stopIfTrue="1" operator="equal">
      <formula>"N/T"</formula>
    </cfRule>
    <cfRule type="cellIs" dxfId="574" priority="31" stopIfTrue="1" operator="equal">
      <formula>"N/A"</formula>
    </cfRule>
    <cfRule type="cellIs" dxfId="573" priority="30" stopIfTrue="1" operator="equal">
      <formula>"Falla"</formula>
    </cfRule>
    <cfRule type="cellIs" dxfId="572" priority="29" stopIfTrue="1" operator="equal">
      <formula>"Pasa"</formula>
    </cfRule>
    <cfRule type="expression" dxfId="571" priority="28" stopIfTrue="1">
      <formula>ISBLANK(D1843)</formula>
    </cfRule>
    <cfRule type="cellIs" dxfId="570" priority="27" stopIfTrue="1" operator="equal">
      <formula>"-"</formula>
    </cfRule>
  </conditionalFormatting>
  <conditionalFormatting sqref="D1881:D1915">
    <cfRule type="cellIs" dxfId="569" priority="5" stopIfTrue="1" operator="equal">
      <formula>"N/A"</formula>
    </cfRule>
    <cfRule type="cellIs" dxfId="568" priority="6" stopIfTrue="1" operator="equal">
      <formula>"N/T"</formula>
    </cfRule>
    <cfRule type="cellIs" dxfId="567" priority="7" stopIfTrue="1" operator="equal">
      <formula>"N/D"</formula>
    </cfRule>
    <cfRule type="cellIs" dxfId="566" priority="1" stopIfTrue="1" operator="equal">
      <formula>"-"</formula>
    </cfRule>
    <cfRule type="expression" dxfId="565" priority="2" stopIfTrue="1">
      <formula>ISBLANK(D1881)</formula>
    </cfRule>
    <cfRule type="cellIs" dxfId="564" priority="3" stopIfTrue="1" operator="equal">
      <formula>"Pasa"</formula>
    </cfRule>
    <cfRule type="cellIs" dxfId="56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562" priority="733" stopIfTrue="1" operator="equal">
      <formula>"ERR"</formula>
    </cfRule>
  </conditionalFormatting>
  <conditionalFormatting sqref="E741:E775 E779:E813 E817:E851 E855:E889 E893:E927 E931:E965 E1045:E1079 E1083:E1117 E1159:E1193 E1197:E1231 E1235:E1269 E1273:E1307 E1311:E1345 E1349:E1383">
    <cfRule type="cellIs" dxfId="561" priority="612" stopIfTrue="1" operator="equal">
      <formula>"ERR"</formula>
    </cfRule>
  </conditionalFormatting>
  <conditionalFormatting sqref="E969:E1003 E1007:E1042">
    <cfRule type="cellIs" dxfId="560" priority="453" stopIfTrue="1" operator="equal">
      <formula>"ERR"</formula>
    </cfRule>
  </conditionalFormatting>
  <conditionalFormatting sqref="E1121:E1155">
    <cfRule type="cellIs" dxfId="559" priority="434" stopIfTrue="1" operator="equal">
      <formula>"ERR"</formula>
    </cfRule>
  </conditionalFormatting>
  <conditionalFormatting sqref="E1387:E1421 E1463:E1497 E1501:E1535 E1615:E1649 E1653:E1687 E1691:E1725 E1729:E1763">
    <cfRule type="cellIs" dxfId="558" priority="521" operator="equal">
      <formula>"ERR"</formula>
    </cfRule>
  </conditionalFormatting>
  <conditionalFormatting sqref="E1425:E1459">
    <cfRule type="cellIs" dxfId="557" priority="421" operator="equal">
      <formula>"ERR"</formula>
    </cfRule>
  </conditionalFormatting>
  <conditionalFormatting sqref="E1539:E1573 E1577:E1611">
    <cfRule type="cellIs" dxfId="556" priority="408" operator="equal">
      <formula>"ERR"</formula>
    </cfRule>
  </conditionalFormatting>
  <conditionalFormatting sqref="E1767:E1801 E1805:E1839">
    <cfRule type="cellIs" dxfId="555" priority="472" stopIfTrue="1" operator="equal">
      <formula>"ERR"</formula>
    </cfRule>
  </conditionalFormatting>
  <conditionalFormatting sqref="E1843:E1877">
    <cfRule type="cellIs" dxfId="554" priority="389" stopIfTrue="1" operator="equal">
      <formula>"ERR"</formula>
    </cfRule>
  </conditionalFormatting>
  <conditionalFormatting sqref="E1881:E1915">
    <cfRule type="cellIs" dxfId="55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552" priority="727" stopIfTrue="1">
      <formula>ISBLANK(F19)</formula>
    </cfRule>
    <cfRule type="cellIs" dxfId="551" priority="728" stopIfTrue="1" operator="equal">
      <formula>"Pasa"</formula>
    </cfRule>
    <cfRule type="cellIs" dxfId="550" priority="729" stopIfTrue="1" operator="equal">
      <formula>"Falla"</formula>
    </cfRule>
    <cfRule type="cellIs" dxfId="549" priority="730" stopIfTrue="1" operator="equal">
      <formula>"N/A"</formula>
    </cfRule>
    <cfRule type="cellIs" dxfId="548" priority="731" stopIfTrue="1" operator="equal">
      <formula>"N/T"</formula>
    </cfRule>
    <cfRule type="cellIs" dxfId="547" priority="732" stopIfTrue="1" operator="equal">
      <formula>"N/D"</formula>
    </cfRule>
  </conditionalFormatting>
  <conditionalFormatting sqref="K23:K24">
    <cfRule type="cellIs" dxfId="546" priority="18" stopIfTrue="1" operator="equal">
      <formula>"N/A"</formula>
    </cfRule>
    <cfRule type="cellIs" dxfId="545" priority="17" stopIfTrue="1" operator="equal">
      <formula>"Falla"</formula>
    </cfRule>
    <cfRule type="cellIs" dxfId="544" priority="16" stopIfTrue="1" operator="equal">
      <formula>"Pasa"</formula>
    </cfRule>
    <cfRule type="expression" dxfId="543" priority="15" stopIfTrue="1">
      <formula>ISBLANK(K23)</formula>
    </cfRule>
    <cfRule type="cellIs" dxfId="542" priority="20" stopIfTrue="1" operator="equal">
      <formula>"N/D"</formula>
    </cfRule>
    <cfRule type="cellIs" dxfId="54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165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2" t="s">
        <v>274</v>
      </c>
      <c r="C8" s="232"/>
      <c r="D8" s="232"/>
      <c r="E8" s="232"/>
      <c r="F8" s="232"/>
      <c r="G8" s="232"/>
      <c r="H8" s="232"/>
      <c r="I8" s="232"/>
      <c r="J8" s="232"/>
      <c r="K8" s="232"/>
      <c r="L8" s="232"/>
      <c r="M8" s="232"/>
      <c r="N8" s="18"/>
      <c r="O8" s="18"/>
    </row>
    <row r="9" spans="1:64" ht="24" customHeight="1">
      <c r="B9" s="231" t="s">
        <v>275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168</v>
      </c>
      <c r="C11" s="230"/>
      <c r="D11" s="26"/>
      <c r="E11" s="14"/>
      <c r="F11" s="196" t="s">
        <v>169</v>
      </c>
      <c r="G11" s="105" t="s">
        <v>170</v>
      </c>
      <c r="H11" s="197" t="s">
        <v>171</v>
      </c>
      <c r="I11" s="22"/>
      <c r="J11" s="196" t="s">
        <v>172</v>
      </c>
      <c r="K11" s="105" t="s">
        <v>170</v>
      </c>
      <c r="L11" s="197" t="s">
        <v>171</v>
      </c>
      <c r="M11" s="18"/>
      <c r="N11" s="18"/>
      <c r="O11" s="18"/>
      <c r="P11" s="18"/>
      <c r="Q11" s="18"/>
      <c r="R11" s="18"/>
      <c r="U11" s="18"/>
      <c r="V11" s="18"/>
      <c r="W11" s="18"/>
      <c r="X11" s="18"/>
      <c r="Y11" s="18"/>
    </row>
    <row r="12" spans="1:64" ht="12" customHeight="1">
      <c r="B12" s="108" t="s">
        <v>173</v>
      </c>
      <c r="C12" s="198">
        <f>COUNTIF($B$18:$B$3922,B12)</f>
        <v>45</v>
      </c>
      <c r="D12" s="26"/>
      <c r="E12" s="14"/>
      <c r="F12" s="199" t="s">
        <v>174</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175</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176</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177</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178</v>
      </c>
      <c r="C14" s="201">
        <f>C12+C13</f>
        <v>45</v>
      </c>
      <c r="D14" s="26"/>
      <c r="E14" s="14"/>
      <c r="F14" s="199" t="s">
        <v>179</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180</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178</v>
      </c>
      <c r="G15" s="203">
        <f ca="1">SUM(G12:G14)</f>
        <v>0</v>
      </c>
      <c r="H15" s="204">
        <f ca="1">SUM(H12:H14)</f>
        <v>0</v>
      </c>
      <c r="I15" s="26"/>
      <c r="J15" s="200" t="s">
        <v>178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181</v>
      </c>
      <c r="B18" s="23" t="s">
        <v>173</v>
      </c>
      <c r="C18" s="24" t="s">
        <v>276</v>
      </c>
      <c r="D18" s="25" t="s">
        <v>183</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185</v>
      </c>
      <c r="G19" s="87" t="s">
        <v>186</v>
      </c>
      <c r="H19" s="88" t="s">
        <v>184</v>
      </c>
      <c r="I19" s="89" t="s">
        <v>176</v>
      </c>
      <c r="J19" s="90" t="s">
        <v>174</v>
      </c>
      <c r="K19" s="179" t="s">
        <v>180</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185</v>
      </c>
      <c r="L22" s="92" t="s">
        <v>187</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184</v>
      </c>
      <c r="L23" s="92" t="s">
        <v>188</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186</v>
      </c>
      <c r="L24" s="92" t="s">
        <v>189</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181</v>
      </c>
      <c r="B56" s="23" t="s">
        <v>173</v>
      </c>
      <c r="C56" s="24" t="s">
        <v>277</v>
      </c>
      <c r="D56" s="25" t="s">
        <v>183</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185</v>
      </c>
      <c r="G57" s="87" t="s">
        <v>186</v>
      </c>
      <c r="H57" s="88" t="s">
        <v>184</v>
      </c>
      <c r="I57" s="89" t="s">
        <v>176</v>
      </c>
      <c r="J57" s="90" t="s">
        <v>174</v>
      </c>
      <c r="K57" s="179" t="s">
        <v>180</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181</v>
      </c>
      <c r="B94" s="23" t="s">
        <v>173</v>
      </c>
      <c r="C94" s="24" t="s">
        <v>278</v>
      </c>
      <c r="D94" s="25" t="s">
        <v>183</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185</v>
      </c>
      <c r="G95" s="87" t="s">
        <v>186</v>
      </c>
      <c r="H95" s="88" t="s">
        <v>184</v>
      </c>
      <c r="I95" s="89" t="s">
        <v>176</v>
      </c>
      <c r="J95" s="90" t="s">
        <v>174</v>
      </c>
      <c r="K95" s="179" t="s">
        <v>180</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181</v>
      </c>
      <c r="B132" s="23" t="s">
        <v>173</v>
      </c>
      <c r="C132" s="24" t="s">
        <v>279</v>
      </c>
      <c r="D132" s="25" t="s">
        <v>183</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185</v>
      </c>
      <c r="G133" s="87" t="s">
        <v>186</v>
      </c>
      <c r="H133" s="88" t="s">
        <v>184</v>
      </c>
      <c r="I133" s="89" t="s">
        <v>176</v>
      </c>
      <c r="J133" s="90" t="s">
        <v>174</v>
      </c>
      <c r="K133" s="179" t="s">
        <v>180</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181</v>
      </c>
      <c r="B170" s="23" t="s">
        <v>173</v>
      </c>
      <c r="C170" s="24" t="s">
        <v>280</v>
      </c>
      <c r="D170" s="25" t="s">
        <v>183</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185</v>
      </c>
      <c r="G171" s="87" t="s">
        <v>186</v>
      </c>
      <c r="H171" s="88" t="s">
        <v>184</v>
      </c>
      <c r="I171" s="89" t="s">
        <v>176</v>
      </c>
      <c r="J171" s="90" t="s">
        <v>174</v>
      </c>
      <c r="K171" s="179" t="s">
        <v>180</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181</v>
      </c>
      <c r="B208" s="23" t="s">
        <v>173</v>
      </c>
      <c r="C208" s="24" t="s">
        <v>281</v>
      </c>
      <c r="D208" s="25" t="s">
        <v>183</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185</v>
      </c>
      <c r="G209" s="87" t="s">
        <v>186</v>
      </c>
      <c r="H209" s="88" t="s">
        <v>184</v>
      </c>
      <c r="I209" s="89" t="s">
        <v>176</v>
      </c>
      <c r="J209" s="90" t="s">
        <v>174</v>
      </c>
      <c r="K209" s="179" t="s">
        <v>180</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181</v>
      </c>
      <c r="B246" s="23" t="s">
        <v>173</v>
      </c>
      <c r="C246" s="24" t="s">
        <v>282</v>
      </c>
      <c r="D246" s="25" t="s">
        <v>183</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185</v>
      </c>
      <c r="G247" s="87" t="s">
        <v>186</v>
      </c>
      <c r="H247" s="88" t="s">
        <v>184</v>
      </c>
      <c r="I247" s="89" t="s">
        <v>176</v>
      </c>
      <c r="J247" s="90" t="s">
        <v>174</v>
      </c>
      <c r="K247" s="179" t="s">
        <v>180</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181</v>
      </c>
      <c r="B284" s="23" t="s">
        <v>173</v>
      </c>
      <c r="C284" s="24" t="s">
        <v>283</v>
      </c>
      <c r="D284" s="25" t="s">
        <v>183</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185</v>
      </c>
      <c r="G285" s="87" t="s">
        <v>186</v>
      </c>
      <c r="H285" s="88" t="s">
        <v>184</v>
      </c>
      <c r="I285" s="89" t="s">
        <v>176</v>
      </c>
      <c r="J285" s="90" t="s">
        <v>174</v>
      </c>
      <c r="K285" s="179" t="s">
        <v>180</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181</v>
      </c>
      <c r="B322" s="23" t="s">
        <v>173</v>
      </c>
      <c r="C322" s="24" t="s">
        <v>284</v>
      </c>
      <c r="D322" s="25" t="s">
        <v>183</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185</v>
      </c>
      <c r="G323" s="87" t="s">
        <v>186</v>
      </c>
      <c r="H323" s="88" t="s">
        <v>184</v>
      </c>
      <c r="I323" s="89" t="s">
        <v>176</v>
      </c>
      <c r="J323" s="90" t="s">
        <v>174</v>
      </c>
      <c r="K323" s="179" t="s">
        <v>180</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181</v>
      </c>
      <c r="B360" s="23" t="s">
        <v>173</v>
      </c>
      <c r="C360" s="24" t="s">
        <v>285</v>
      </c>
      <c r="D360" s="25" t="s">
        <v>183</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185</v>
      </c>
      <c r="G361" s="87" t="s">
        <v>186</v>
      </c>
      <c r="H361" s="88" t="s">
        <v>184</v>
      </c>
      <c r="I361" s="89" t="s">
        <v>176</v>
      </c>
      <c r="J361" s="90" t="s">
        <v>174</v>
      </c>
      <c r="K361" s="179" t="s">
        <v>180</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181</v>
      </c>
      <c r="B398" s="23" t="s">
        <v>173</v>
      </c>
      <c r="C398" s="24" t="s">
        <v>286</v>
      </c>
      <c r="D398" s="25" t="s">
        <v>183</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185</v>
      </c>
      <c r="G399" s="87" t="s">
        <v>186</v>
      </c>
      <c r="H399" s="88" t="s">
        <v>184</v>
      </c>
      <c r="I399" s="89" t="s">
        <v>176</v>
      </c>
      <c r="J399" s="90" t="s">
        <v>174</v>
      </c>
      <c r="K399" s="179" t="s">
        <v>180</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181</v>
      </c>
      <c r="B436" s="23" t="s">
        <v>173</v>
      </c>
      <c r="C436" s="24" t="s">
        <v>287</v>
      </c>
      <c r="D436" s="25" t="s">
        <v>183</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185</v>
      </c>
      <c r="G437" s="87" t="s">
        <v>186</v>
      </c>
      <c r="H437" s="88" t="s">
        <v>184</v>
      </c>
      <c r="I437" s="89" t="s">
        <v>176</v>
      </c>
      <c r="J437" s="90" t="s">
        <v>174</v>
      </c>
      <c r="K437" s="179" t="s">
        <v>180</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181</v>
      </c>
      <c r="B474" s="23" t="s">
        <v>173</v>
      </c>
      <c r="C474" s="24" t="s">
        <v>288</v>
      </c>
      <c r="D474" s="25" t="s">
        <v>183</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185</v>
      </c>
      <c r="G475" s="87" t="s">
        <v>186</v>
      </c>
      <c r="H475" s="88" t="s">
        <v>184</v>
      </c>
      <c r="I475" s="89" t="s">
        <v>176</v>
      </c>
      <c r="J475" s="90" t="s">
        <v>174</v>
      </c>
      <c r="K475" s="179" t="s">
        <v>180</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181</v>
      </c>
      <c r="B512" s="23" t="s">
        <v>173</v>
      </c>
      <c r="C512" s="24" t="s">
        <v>289</v>
      </c>
      <c r="D512" s="25" t="s">
        <v>183</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185</v>
      </c>
      <c r="G513" s="87" t="s">
        <v>186</v>
      </c>
      <c r="H513" s="88" t="s">
        <v>184</v>
      </c>
      <c r="I513" s="89" t="s">
        <v>176</v>
      </c>
      <c r="J513" s="90" t="s">
        <v>174</v>
      </c>
      <c r="K513" s="179" t="s">
        <v>180</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181</v>
      </c>
      <c r="B550" s="23" t="s">
        <v>173</v>
      </c>
      <c r="C550" s="24" t="s">
        <v>290</v>
      </c>
      <c r="D550" s="25" t="s">
        <v>183</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185</v>
      </c>
      <c r="G551" s="87" t="s">
        <v>186</v>
      </c>
      <c r="H551" s="88" t="s">
        <v>184</v>
      </c>
      <c r="I551" s="89" t="s">
        <v>176</v>
      </c>
      <c r="J551" s="90" t="s">
        <v>174</v>
      </c>
      <c r="K551" s="179" t="s">
        <v>180</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181</v>
      </c>
      <c r="B588" s="23" t="s">
        <v>173</v>
      </c>
      <c r="C588" s="24" t="s">
        <v>291</v>
      </c>
      <c r="D588" s="25" t="s">
        <v>183</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185</v>
      </c>
      <c r="G589" s="87" t="s">
        <v>186</v>
      </c>
      <c r="H589" s="88" t="s">
        <v>184</v>
      </c>
      <c r="I589" s="89" t="s">
        <v>176</v>
      </c>
      <c r="J589" s="90" t="s">
        <v>174</v>
      </c>
      <c r="K589" s="179" t="s">
        <v>180</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181</v>
      </c>
      <c r="B626" s="23" t="s">
        <v>173</v>
      </c>
      <c r="C626" s="24" t="s">
        <v>292</v>
      </c>
      <c r="D626" s="25" t="s">
        <v>183</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185</v>
      </c>
      <c r="G627" s="87" t="s">
        <v>186</v>
      </c>
      <c r="H627" s="88" t="s">
        <v>184</v>
      </c>
      <c r="I627" s="89" t="s">
        <v>176</v>
      </c>
      <c r="J627" s="90" t="s">
        <v>174</v>
      </c>
      <c r="K627" s="179" t="s">
        <v>180</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181</v>
      </c>
      <c r="B664" s="23" t="s">
        <v>173</v>
      </c>
      <c r="C664" s="24" t="s">
        <v>293</v>
      </c>
      <c r="D664" s="25" t="s">
        <v>183</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185</v>
      </c>
      <c r="G665" s="87" t="s">
        <v>186</v>
      </c>
      <c r="H665" s="88" t="s">
        <v>184</v>
      </c>
      <c r="I665" s="89" t="s">
        <v>176</v>
      </c>
      <c r="J665" s="90" t="s">
        <v>174</v>
      </c>
      <c r="K665" s="179" t="s">
        <v>180</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181</v>
      </c>
      <c r="B702" s="23" t="s">
        <v>173</v>
      </c>
      <c r="C702" s="24" t="s">
        <v>294</v>
      </c>
      <c r="D702" s="25" t="s">
        <v>183</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185</v>
      </c>
      <c r="G703" s="87" t="s">
        <v>186</v>
      </c>
      <c r="H703" s="88" t="s">
        <v>184</v>
      </c>
      <c r="I703" s="89" t="s">
        <v>176</v>
      </c>
      <c r="J703" s="90" t="s">
        <v>174</v>
      </c>
      <c r="K703" s="179" t="s">
        <v>180</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181</v>
      </c>
      <c r="B740" s="23" t="s">
        <v>173</v>
      </c>
      <c r="C740" s="24" t="s">
        <v>295</v>
      </c>
      <c r="D740" s="25" t="s">
        <v>183</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185</v>
      </c>
      <c r="G741" s="87" t="s">
        <v>186</v>
      </c>
      <c r="H741" s="88" t="s">
        <v>184</v>
      </c>
      <c r="I741" s="89" t="s">
        <v>176</v>
      </c>
      <c r="J741" s="90" t="s">
        <v>174</v>
      </c>
      <c r="K741" s="179" t="s">
        <v>180</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181</v>
      </c>
      <c r="B778" s="23" t="s">
        <v>173</v>
      </c>
      <c r="C778" s="24" t="s">
        <v>296</v>
      </c>
      <c r="D778" s="25" t="s">
        <v>183</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185</v>
      </c>
      <c r="G779" s="87" t="s">
        <v>186</v>
      </c>
      <c r="H779" s="88" t="s">
        <v>184</v>
      </c>
      <c r="I779" s="89" t="s">
        <v>176</v>
      </c>
      <c r="J779" s="90" t="s">
        <v>174</v>
      </c>
      <c r="K779" s="179" t="s">
        <v>180</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181</v>
      </c>
      <c r="B816" s="23" t="s">
        <v>173</v>
      </c>
      <c r="C816" s="24" t="s">
        <v>297</v>
      </c>
      <c r="D816" s="25" t="s">
        <v>183</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185</v>
      </c>
      <c r="G817" s="87" t="s">
        <v>186</v>
      </c>
      <c r="H817" s="88" t="s">
        <v>184</v>
      </c>
      <c r="I817" s="89" t="s">
        <v>176</v>
      </c>
      <c r="J817" s="90" t="s">
        <v>174</v>
      </c>
      <c r="K817" s="179" t="s">
        <v>180</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181</v>
      </c>
      <c r="B854" s="23" t="s">
        <v>173</v>
      </c>
      <c r="C854" s="24" t="s">
        <v>298</v>
      </c>
      <c r="D854" s="25" t="s">
        <v>183</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185</v>
      </c>
      <c r="G855" s="87" t="s">
        <v>186</v>
      </c>
      <c r="H855" s="88" t="s">
        <v>184</v>
      </c>
      <c r="I855" s="89" t="s">
        <v>176</v>
      </c>
      <c r="J855" s="90" t="s">
        <v>174</v>
      </c>
      <c r="K855" s="179" t="s">
        <v>180</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181</v>
      </c>
      <c r="B892" s="23" t="s">
        <v>173</v>
      </c>
      <c r="C892" s="24" t="s">
        <v>299</v>
      </c>
      <c r="D892" s="25" t="s">
        <v>183</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185</v>
      </c>
      <c r="G893" s="87" t="s">
        <v>186</v>
      </c>
      <c r="H893" s="88" t="s">
        <v>184</v>
      </c>
      <c r="I893" s="89" t="s">
        <v>176</v>
      </c>
      <c r="J893" s="90" t="s">
        <v>174</v>
      </c>
      <c r="K893" s="179" t="s">
        <v>180</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181</v>
      </c>
      <c r="B930" s="23" t="s">
        <v>173</v>
      </c>
      <c r="C930" s="24" t="s">
        <v>300</v>
      </c>
      <c r="D930" s="25" t="s">
        <v>183</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185</v>
      </c>
      <c r="G931" s="87" t="s">
        <v>186</v>
      </c>
      <c r="H931" s="88" t="s">
        <v>184</v>
      </c>
      <c r="I931" s="89" t="s">
        <v>176</v>
      </c>
      <c r="J931" s="90" t="s">
        <v>174</v>
      </c>
      <c r="K931" s="179" t="s">
        <v>180</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181</v>
      </c>
      <c r="B968" s="23" t="s">
        <v>173</v>
      </c>
      <c r="C968" s="24" t="s">
        <v>301</v>
      </c>
      <c r="D968" s="25" t="s">
        <v>183</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185</v>
      </c>
      <c r="G969" s="87" t="s">
        <v>186</v>
      </c>
      <c r="H969" s="88" t="s">
        <v>184</v>
      </c>
      <c r="I969" s="89" t="s">
        <v>176</v>
      </c>
      <c r="J969" s="90" t="s">
        <v>174</v>
      </c>
      <c r="K969" s="179" t="s">
        <v>180</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181</v>
      </c>
      <c r="B1006" s="23" t="s">
        <v>173</v>
      </c>
      <c r="C1006" s="24" t="s">
        <v>302</v>
      </c>
      <c r="D1006" s="25" t="s">
        <v>183</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185</v>
      </c>
      <c r="G1007" s="87" t="s">
        <v>186</v>
      </c>
      <c r="H1007" s="88" t="s">
        <v>184</v>
      </c>
      <c r="I1007" s="89" t="s">
        <v>176</v>
      </c>
      <c r="J1007" s="90" t="s">
        <v>174</v>
      </c>
      <c r="K1007" s="179" t="s">
        <v>180</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181</v>
      </c>
      <c r="B1044" s="23" t="s">
        <v>173</v>
      </c>
      <c r="C1044" s="24" t="s">
        <v>303</v>
      </c>
      <c r="D1044" s="25" t="s">
        <v>183</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185</v>
      </c>
      <c r="G1045" s="87" t="s">
        <v>186</v>
      </c>
      <c r="H1045" s="88" t="s">
        <v>184</v>
      </c>
      <c r="I1045" s="89" t="s">
        <v>176</v>
      </c>
      <c r="J1045" s="90" t="s">
        <v>174</v>
      </c>
      <c r="K1045" s="179" t="s">
        <v>180</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181</v>
      </c>
      <c r="B1082" s="23" t="s">
        <v>173</v>
      </c>
      <c r="C1082" s="24" t="s">
        <v>304</v>
      </c>
      <c r="D1082" s="25" t="s">
        <v>183</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185</v>
      </c>
      <c r="G1083" s="87" t="s">
        <v>186</v>
      </c>
      <c r="H1083" s="88" t="s">
        <v>184</v>
      </c>
      <c r="I1083" s="89" t="s">
        <v>176</v>
      </c>
      <c r="J1083" s="90" t="s">
        <v>174</v>
      </c>
      <c r="K1083" s="179" t="s">
        <v>180</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181</v>
      </c>
      <c r="B1120" s="23" t="s">
        <v>173</v>
      </c>
      <c r="C1120" s="24" t="s">
        <v>305</v>
      </c>
      <c r="D1120" s="25" t="s">
        <v>183</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185</v>
      </c>
      <c r="G1121" s="87" t="s">
        <v>186</v>
      </c>
      <c r="H1121" s="88" t="s">
        <v>184</v>
      </c>
      <c r="I1121" s="89" t="s">
        <v>176</v>
      </c>
      <c r="J1121" s="90" t="s">
        <v>174</v>
      </c>
      <c r="K1121" s="179" t="s">
        <v>180</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181</v>
      </c>
      <c r="B1158" s="23" t="s">
        <v>173</v>
      </c>
      <c r="C1158" s="24" t="s">
        <v>306</v>
      </c>
      <c r="D1158" s="25" t="s">
        <v>183</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185</v>
      </c>
      <c r="G1159" s="87" t="s">
        <v>186</v>
      </c>
      <c r="H1159" s="88" t="s">
        <v>184</v>
      </c>
      <c r="I1159" s="89" t="s">
        <v>176</v>
      </c>
      <c r="J1159" s="90" t="s">
        <v>174</v>
      </c>
      <c r="K1159" s="179" t="s">
        <v>180</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181</v>
      </c>
      <c r="B1196" s="23" t="s">
        <v>173</v>
      </c>
      <c r="C1196" s="24" t="s">
        <v>307</v>
      </c>
      <c r="D1196" s="25" t="s">
        <v>183</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185</v>
      </c>
      <c r="G1197" s="87" t="s">
        <v>186</v>
      </c>
      <c r="H1197" s="88" t="s">
        <v>184</v>
      </c>
      <c r="I1197" s="89" t="s">
        <v>176</v>
      </c>
      <c r="J1197" s="90" t="s">
        <v>174</v>
      </c>
      <c r="K1197" s="179" t="s">
        <v>180</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181</v>
      </c>
      <c r="B1234" s="23" t="s">
        <v>173</v>
      </c>
      <c r="C1234" s="24" t="s">
        <v>308</v>
      </c>
      <c r="D1234" s="25" t="s">
        <v>183</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185</v>
      </c>
      <c r="G1235" s="87" t="s">
        <v>186</v>
      </c>
      <c r="H1235" s="88" t="s">
        <v>184</v>
      </c>
      <c r="I1235" s="89" t="s">
        <v>176</v>
      </c>
      <c r="J1235" s="90" t="s">
        <v>174</v>
      </c>
      <c r="K1235" s="179" t="s">
        <v>180</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181</v>
      </c>
      <c r="B1272" s="23" t="s">
        <v>173</v>
      </c>
      <c r="C1272" s="24" t="s">
        <v>309</v>
      </c>
      <c r="D1272" s="25" t="s">
        <v>183</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185</v>
      </c>
      <c r="G1273" s="87" t="s">
        <v>186</v>
      </c>
      <c r="H1273" s="88" t="s">
        <v>184</v>
      </c>
      <c r="I1273" s="89" t="s">
        <v>176</v>
      </c>
      <c r="J1273" s="90" t="s">
        <v>174</v>
      </c>
      <c r="K1273" s="179" t="s">
        <v>180</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181</v>
      </c>
      <c r="B1310" s="23" t="s">
        <v>173</v>
      </c>
      <c r="C1310" s="24" t="s">
        <v>310</v>
      </c>
      <c r="D1310" s="25" t="s">
        <v>183</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185</v>
      </c>
      <c r="G1311" s="87" t="s">
        <v>186</v>
      </c>
      <c r="H1311" s="88" t="s">
        <v>184</v>
      </c>
      <c r="I1311" s="89" t="s">
        <v>176</v>
      </c>
      <c r="J1311" s="90" t="s">
        <v>174</v>
      </c>
      <c r="K1311" s="179" t="s">
        <v>180</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181</v>
      </c>
      <c r="B1348" s="23" t="s">
        <v>173</v>
      </c>
      <c r="C1348" s="24" t="s">
        <v>311</v>
      </c>
      <c r="D1348" s="25" t="s">
        <v>183</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185</v>
      </c>
      <c r="G1349" s="87" t="s">
        <v>186</v>
      </c>
      <c r="H1349" s="88" t="s">
        <v>184</v>
      </c>
      <c r="I1349" s="89" t="s">
        <v>176</v>
      </c>
      <c r="J1349" s="90" t="s">
        <v>174</v>
      </c>
      <c r="K1349" s="179" t="s">
        <v>180</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181</v>
      </c>
      <c r="B1386" s="23" t="s">
        <v>173</v>
      </c>
      <c r="C1386" s="24" t="s">
        <v>312</v>
      </c>
      <c r="D1386" s="25" t="s">
        <v>183</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185</v>
      </c>
      <c r="G1387" s="87" t="s">
        <v>186</v>
      </c>
      <c r="H1387" s="88" t="s">
        <v>184</v>
      </c>
      <c r="I1387" s="89" t="s">
        <v>176</v>
      </c>
      <c r="J1387" s="90" t="s">
        <v>174</v>
      </c>
      <c r="K1387" s="179" t="s">
        <v>180</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181</v>
      </c>
      <c r="B1424" s="23" t="s">
        <v>173</v>
      </c>
      <c r="C1424" s="24" t="s">
        <v>313</v>
      </c>
      <c r="D1424" s="25" t="s">
        <v>183</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185</v>
      </c>
      <c r="G1425" s="87" t="s">
        <v>186</v>
      </c>
      <c r="H1425" s="88" t="s">
        <v>184</v>
      </c>
      <c r="I1425" s="89" t="s">
        <v>176</v>
      </c>
      <c r="J1425" s="90" t="s">
        <v>174</v>
      </c>
      <c r="K1425" s="179" t="s">
        <v>180</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181</v>
      </c>
      <c r="B1462" s="23" t="s">
        <v>173</v>
      </c>
      <c r="C1462" s="24" t="s">
        <v>314</v>
      </c>
      <c r="D1462" s="25" t="s">
        <v>183</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185</v>
      </c>
      <c r="G1463" s="87" t="s">
        <v>186</v>
      </c>
      <c r="H1463" s="88" t="s">
        <v>184</v>
      </c>
      <c r="I1463" s="89" t="s">
        <v>176</v>
      </c>
      <c r="J1463" s="90" t="s">
        <v>174</v>
      </c>
      <c r="K1463" s="179" t="s">
        <v>180</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181</v>
      </c>
      <c r="B1500" s="23" t="s">
        <v>173</v>
      </c>
      <c r="C1500" s="24" t="s">
        <v>315</v>
      </c>
      <c r="D1500" s="25" t="s">
        <v>183</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185</v>
      </c>
      <c r="G1501" s="87" t="s">
        <v>186</v>
      </c>
      <c r="H1501" s="88" t="s">
        <v>184</v>
      </c>
      <c r="I1501" s="89" t="s">
        <v>176</v>
      </c>
      <c r="J1501" s="90" t="s">
        <v>174</v>
      </c>
      <c r="K1501" s="179" t="s">
        <v>180</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181</v>
      </c>
      <c r="B1538" s="23" t="s">
        <v>173</v>
      </c>
      <c r="C1538" s="24" t="s">
        <v>316</v>
      </c>
      <c r="D1538" s="25" t="s">
        <v>183</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185</v>
      </c>
      <c r="G1539" s="87" t="s">
        <v>186</v>
      </c>
      <c r="H1539" s="88" t="s">
        <v>184</v>
      </c>
      <c r="I1539" s="89" t="s">
        <v>176</v>
      </c>
      <c r="J1539" s="90" t="s">
        <v>174</v>
      </c>
      <c r="K1539" s="179" t="s">
        <v>180</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181</v>
      </c>
      <c r="B1576" s="23" t="s">
        <v>173</v>
      </c>
      <c r="C1576" s="24" t="s">
        <v>317</v>
      </c>
      <c r="D1576" s="25" t="s">
        <v>183</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185</v>
      </c>
      <c r="G1577" s="87" t="s">
        <v>186</v>
      </c>
      <c r="H1577" s="88" t="s">
        <v>184</v>
      </c>
      <c r="I1577" s="89" t="s">
        <v>176</v>
      </c>
      <c r="J1577" s="90" t="s">
        <v>174</v>
      </c>
      <c r="K1577" s="179" t="s">
        <v>180</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181</v>
      </c>
      <c r="B1614" s="23" t="s">
        <v>173</v>
      </c>
      <c r="C1614" s="24" t="s">
        <v>318</v>
      </c>
      <c r="D1614" s="25" t="s">
        <v>183</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185</v>
      </c>
      <c r="G1615" s="87" t="s">
        <v>186</v>
      </c>
      <c r="H1615" s="88" t="s">
        <v>184</v>
      </c>
      <c r="I1615" s="89" t="s">
        <v>176</v>
      </c>
      <c r="J1615" s="90" t="s">
        <v>174</v>
      </c>
      <c r="K1615" s="179" t="s">
        <v>180</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181</v>
      </c>
      <c r="B1652" s="23" t="s">
        <v>173</v>
      </c>
      <c r="C1652" s="24" t="s">
        <v>319</v>
      </c>
      <c r="D1652" s="25" t="s">
        <v>183</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185</v>
      </c>
      <c r="G1653" s="87" t="s">
        <v>186</v>
      </c>
      <c r="H1653" s="88" t="s">
        <v>184</v>
      </c>
      <c r="I1653" s="89" t="s">
        <v>176</v>
      </c>
      <c r="J1653" s="90" t="s">
        <v>174</v>
      </c>
      <c r="K1653" s="179" t="s">
        <v>180</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181</v>
      </c>
      <c r="B1690" s="23" t="s">
        <v>173</v>
      </c>
      <c r="C1690" s="24" t="s">
        <v>320</v>
      </c>
      <c r="D1690" s="25" t="s">
        <v>183</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185</v>
      </c>
      <c r="G1691" s="87" t="s">
        <v>186</v>
      </c>
      <c r="H1691" s="88" t="s">
        <v>184</v>
      </c>
      <c r="I1691" s="89" t="s">
        <v>176</v>
      </c>
      <c r="J1691" s="90" t="s">
        <v>174</v>
      </c>
      <c r="K1691" s="179" t="s">
        <v>180</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540" priority="350" stopIfTrue="1">
      <formula>ISBLANK(D19)</formula>
    </cfRule>
    <cfRule type="cellIs" dxfId="539" priority="355" stopIfTrue="1" operator="equal">
      <formula>"N/D"</formula>
    </cfRule>
    <cfRule type="cellIs" dxfId="538" priority="354" stopIfTrue="1" operator="equal">
      <formula>"N/T"</formula>
    </cfRule>
    <cfRule type="cellIs" dxfId="537" priority="353" stopIfTrue="1" operator="equal">
      <formula>"N/A"</formula>
    </cfRule>
    <cfRule type="cellIs" dxfId="536" priority="352" stopIfTrue="1" operator="equal">
      <formula>"Falla"</formula>
    </cfRule>
    <cfRule type="cellIs" dxfId="535" priority="351" stopIfTrue="1" operator="equal">
      <formula>"Pasa"</formula>
    </cfRule>
    <cfRule type="cellIs" dxfId="534" priority="349" stopIfTrue="1" operator="equal">
      <formula>"-"</formula>
    </cfRule>
  </conditionalFormatting>
  <conditionalFormatting sqref="D57:D91">
    <cfRule type="cellIs" dxfId="533" priority="348" stopIfTrue="1" operator="equal">
      <formula>"N/D"</formula>
    </cfRule>
    <cfRule type="cellIs" dxfId="532" priority="347" stopIfTrue="1" operator="equal">
      <formula>"N/T"</formula>
    </cfRule>
    <cfRule type="cellIs" dxfId="531" priority="346" stopIfTrue="1" operator="equal">
      <formula>"N/A"</formula>
    </cfRule>
    <cfRule type="cellIs" dxfId="530" priority="345" stopIfTrue="1" operator="equal">
      <formula>"Falla"</formula>
    </cfRule>
    <cfRule type="cellIs" dxfId="529" priority="344" stopIfTrue="1" operator="equal">
      <formula>"Pasa"</formula>
    </cfRule>
    <cfRule type="expression" dxfId="528" priority="343" stopIfTrue="1">
      <formula>ISBLANK(D57)</formula>
    </cfRule>
    <cfRule type="cellIs" dxfId="527" priority="342" stopIfTrue="1" operator="equal">
      <formula>"-"</formula>
    </cfRule>
  </conditionalFormatting>
  <conditionalFormatting sqref="D95:D129">
    <cfRule type="cellIs" dxfId="526" priority="341" stopIfTrue="1" operator="equal">
      <formula>"N/D"</formula>
    </cfRule>
    <cfRule type="cellIs" dxfId="525" priority="340" stopIfTrue="1" operator="equal">
      <formula>"N/T"</formula>
    </cfRule>
    <cfRule type="cellIs" dxfId="524" priority="339" stopIfTrue="1" operator="equal">
      <formula>"N/A"</formula>
    </cfRule>
    <cfRule type="cellIs" dxfId="523" priority="338" stopIfTrue="1" operator="equal">
      <formula>"Falla"</formula>
    </cfRule>
    <cfRule type="cellIs" dxfId="522" priority="337" stopIfTrue="1" operator="equal">
      <formula>"Pasa"</formula>
    </cfRule>
    <cfRule type="expression" dxfId="521" priority="336" stopIfTrue="1">
      <formula>ISBLANK(D95)</formula>
    </cfRule>
    <cfRule type="cellIs" dxfId="520" priority="335" stopIfTrue="1" operator="equal">
      <formula>"-"</formula>
    </cfRule>
  </conditionalFormatting>
  <conditionalFormatting sqref="D133:D167">
    <cfRule type="cellIs" dxfId="519" priority="334" stopIfTrue="1" operator="equal">
      <formula>"N/D"</formula>
    </cfRule>
    <cfRule type="cellIs" dxfId="518" priority="333" stopIfTrue="1" operator="equal">
      <formula>"N/T"</formula>
    </cfRule>
    <cfRule type="cellIs" dxfId="517" priority="332" stopIfTrue="1" operator="equal">
      <formula>"N/A"</formula>
    </cfRule>
    <cfRule type="cellIs" dxfId="516" priority="331" stopIfTrue="1" operator="equal">
      <formula>"Falla"</formula>
    </cfRule>
    <cfRule type="cellIs" dxfId="515" priority="330" stopIfTrue="1" operator="equal">
      <formula>"Pasa"</formula>
    </cfRule>
    <cfRule type="expression" dxfId="514" priority="329" stopIfTrue="1">
      <formula>ISBLANK(D133)</formula>
    </cfRule>
    <cfRule type="cellIs" dxfId="513" priority="328" stopIfTrue="1" operator="equal">
      <formula>"-"</formula>
    </cfRule>
  </conditionalFormatting>
  <conditionalFormatting sqref="D171:D205">
    <cfRule type="cellIs" dxfId="512" priority="316" stopIfTrue="1" operator="equal">
      <formula>"Pasa"</formula>
    </cfRule>
    <cfRule type="cellIs" dxfId="511" priority="320" stopIfTrue="1" operator="equal">
      <formula>"N/D"</formula>
    </cfRule>
    <cfRule type="cellIs" dxfId="510" priority="318" stopIfTrue="1" operator="equal">
      <formula>"N/A"</formula>
    </cfRule>
    <cfRule type="cellIs" dxfId="509" priority="317" stopIfTrue="1" operator="equal">
      <formula>"Falla"</formula>
    </cfRule>
    <cfRule type="expression" dxfId="508" priority="315" stopIfTrue="1">
      <formula>ISBLANK(D171)</formula>
    </cfRule>
    <cfRule type="cellIs" dxfId="507" priority="314" stopIfTrue="1" operator="equal">
      <formula>"-"</formula>
    </cfRule>
    <cfRule type="cellIs" dxfId="506" priority="319" stopIfTrue="1" operator="equal">
      <formula>"N/T"</formula>
    </cfRule>
  </conditionalFormatting>
  <conditionalFormatting sqref="D209:D243">
    <cfRule type="cellIs" dxfId="505" priority="313" stopIfTrue="1" operator="equal">
      <formula>"N/D"</formula>
    </cfRule>
    <cfRule type="cellIs" dxfId="504" priority="312" stopIfTrue="1" operator="equal">
      <formula>"N/T"</formula>
    </cfRule>
    <cfRule type="cellIs" dxfId="503" priority="311" stopIfTrue="1" operator="equal">
      <formula>"N/A"</formula>
    </cfRule>
    <cfRule type="cellIs" dxfId="502" priority="310" stopIfTrue="1" operator="equal">
      <formula>"Falla"</formula>
    </cfRule>
    <cfRule type="cellIs" dxfId="501" priority="309" stopIfTrue="1" operator="equal">
      <formula>"Pasa"</formula>
    </cfRule>
    <cfRule type="expression" dxfId="500" priority="308" stopIfTrue="1">
      <formula>ISBLANK(D209)</formula>
    </cfRule>
    <cfRule type="cellIs" dxfId="499" priority="307" stopIfTrue="1" operator="equal">
      <formula>"-"</formula>
    </cfRule>
  </conditionalFormatting>
  <conditionalFormatting sqref="D247:D281">
    <cfRule type="cellIs" dxfId="498" priority="306" stopIfTrue="1" operator="equal">
      <formula>"N/D"</formula>
    </cfRule>
    <cfRule type="cellIs" dxfId="497" priority="305" stopIfTrue="1" operator="equal">
      <formula>"N/T"</formula>
    </cfRule>
    <cfRule type="cellIs" dxfId="496" priority="304" stopIfTrue="1" operator="equal">
      <formula>"N/A"</formula>
    </cfRule>
    <cfRule type="cellIs" dxfId="495" priority="303" stopIfTrue="1" operator="equal">
      <formula>"Falla"</formula>
    </cfRule>
    <cfRule type="cellIs" dxfId="494" priority="302" stopIfTrue="1" operator="equal">
      <formula>"Pasa"</formula>
    </cfRule>
    <cfRule type="expression" dxfId="493" priority="301" stopIfTrue="1">
      <formula>ISBLANK(D247)</formula>
    </cfRule>
    <cfRule type="cellIs" dxfId="492" priority="300" stopIfTrue="1" operator="equal">
      <formula>"-"</formula>
    </cfRule>
  </conditionalFormatting>
  <conditionalFormatting sqref="D285:D319">
    <cfRule type="cellIs" dxfId="491" priority="297" stopIfTrue="1" operator="equal">
      <formula>"N/A"</formula>
    </cfRule>
    <cfRule type="cellIs" dxfId="490" priority="299" stopIfTrue="1" operator="equal">
      <formula>"N/D"</formula>
    </cfRule>
    <cfRule type="cellIs" dxfId="489" priority="298" stopIfTrue="1" operator="equal">
      <formula>"N/T"</formula>
    </cfRule>
    <cfRule type="cellIs" dxfId="488" priority="296" stopIfTrue="1" operator="equal">
      <formula>"Falla"</formula>
    </cfRule>
    <cfRule type="cellIs" dxfId="487" priority="295" stopIfTrue="1" operator="equal">
      <formula>"Pasa"</formula>
    </cfRule>
    <cfRule type="expression" dxfId="486" priority="294" stopIfTrue="1">
      <formula>ISBLANK(D285)</formula>
    </cfRule>
    <cfRule type="cellIs" dxfId="485" priority="293" stopIfTrue="1" operator="equal">
      <formula>"-"</formula>
    </cfRule>
  </conditionalFormatting>
  <conditionalFormatting sqref="D323:D357">
    <cfRule type="cellIs" dxfId="484" priority="288" stopIfTrue="1" operator="equal">
      <formula>"Pasa"</formula>
    </cfRule>
    <cfRule type="cellIs" dxfId="483" priority="286" stopIfTrue="1" operator="equal">
      <formula>"-"</formula>
    </cfRule>
    <cfRule type="cellIs" dxfId="482" priority="292" stopIfTrue="1" operator="equal">
      <formula>"N/D"</formula>
    </cfRule>
    <cfRule type="cellIs" dxfId="481" priority="291" stopIfTrue="1" operator="equal">
      <formula>"N/T"</formula>
    </cfRule>
    <cfRule type="expression" dxfId="480" priority="287" stopIfTrue="1">
      <formula>ISBLANK(D323)</formula>
    </cfRule>
    <cfRule type="cellIs" dxfId="479" priority="290" stopIfTrue="1" operator="equal">
      <formula>"N/A"</formula>
    </cfRule>
    <cfRule type="cellIs" dxfId="478" priority="289" stopIfTrue="1" operator="equal">
      <formula>"Falla"</formula>
    </cfRule>
  </conditionalFormatting>
  <conditionalFormatting sqref="D361:D395">
    <cfRule type="cellIs" dxfId="477" priority="279" stopIfTrue="1" operator="equal">
      <formula>"-"</formula>
    </cfRule>
    <cfRule type="cellIs" dxfId="476" priority="285" stopIfTrue="1" operator="equal">
      <formula>"N/D"</formula>
    </cfRule>
    <cfRule type="cellIs" dxfId="475" priority="284" stopIfTrue="1" operator="equal">
      <formula>"N/T"</formula>
    </cfRule>
    <cfRule type="cellIs" dxfId="474" priority="283" stopIfTrue="1" operator="equal">
      <formula>"N/A"</formula>
    </cfRule>
    <cfRule type="cellIs" dxfId="473" priority="282" stopIfTrue="1" operator="equal">
      <formula>"Falla"</formula>
    </cfRule>
    <cfRule type="cellIs" dxfId="472" priority="281" stopIfTrue="1" operator="equal">
      <formula>"Pasa"</formula>
    </cfRule>
    <cfRule type="expression" dxfId="471" priority="280" stopIfTrue="1">
      <formula>ISBLANK(D361)</formula>
    </cfRule>
  </conditionalFormatting>
  <conditionalFormatting sqref="D399:D433">
    <cfRule type="cellIs" dxfId="470" priority="278" stopIfTrue="1" operator="equal">
      <formula>"N/D"</formula>
    </cfRule>
    <cfRule type="cellIs" dxfId="469" priority="275" stopIfTrue="1" operator="equal">
      <formula>"Falla"</formula>
    </cfRule>
    <cfRule type="cellIs" dxfId="468" priority="277" stopIfTrue="1" operator="equal">
      <formula>"N/T"</formula>
    </cfRule>
    <cfRule type="cellIs" dxfId="467" priority="276" stopIfTrue="1" operator="equal">
      <formula>"N/A"</formula>
    </cfRule>
    <cfRule type="cellIs" dxfId="466" priority="274" stopIfTrue="1" operator="equal">
      <formula>"Pasa"</formula>
    </cfRule>
    <cfRule type="expression" dxfId="465" priority="273" stopIfTrue="1">
      <formula>ISBLANK(D399)</formula>
    </cfRule>
    <cfRule type="cellIs" dxfId="464" priority="272" stopIfTrue="1" operator="equal">
      <formula>"-"</formula>
    </cfRule>
  </conditionalFormatting>
  <conditionalFormatting sqref="D437:D471">
    <cfRule type="cellIs" dxfId="463" priority="271" stopIfTrue="1" operator="equal">
      <formula>"N/D"</formula>
    </cfRule>
    <cfRule type="cellIs" dxfId="462" priority="270" stopIfTrue="1" operator="equal">
      <formula>"N/T"</formula>
    </cfRule>
    <cfRule type="cellIs" dxfId="461" priority="269" stopIfTrue="1" operator="equal">
      <formula>"N/A"</formula>
    </cfRule>
    <cfRule type="cellIs" dxfId="460" priority="268" stopIfTrue="1" operator="equal">
      <formula>"Falla"</formula>
    </cfRule>
    <cfRule type="cellIs" dxfId="459" priority="267" stopIfTrue="1" operator="equal">
      <formula>"Pasa"</formula>
    </cfRule>
    <cfRule type="expression" dxfId="458" priority="266" stopIfTrue="1">
      <formula>ISBLANK(D437)</formula>
    </cfRule>
    <cfRule type="cellIs" dxfId="457" priority="265" stopIfTrue="1" operator="equal">
      <formula>"-"</formula>
    </cfRule>
  </conditionalFormatting>
  <conditionalFormatting sqref="D475:D509">
    <cfRule type="cellIs" dxfId="456" priority="264" stopIfTrue="1" operator="equal">
      <formula>"N/D"</formula>
    </cfRule>
    <cfRule type="cellIs" dxfId="455" priority="263" stopIfTrue="1" operator="equal">
      <formula>"N/T"</formula>
    </cfRule>
    <cfRule type="cellIs" dxfId="454" priority="262" stopIfTrue="1" operator="equal">
      <formula>"N/A"</formula>
    </cfRule>
    <cfRule type="cellIs" dxfId="453" priority="261" stopIfTrue="1" operator="equal">
      <formula>"Falla"</formula>
    </cfRule>
    <cfRule type="cellIs" dxfId="452" priority="260" stopIfTrue="1" operator="equal">
      <formula>"Pasa"</formula>
    </cfRule>
    <cfRule type="expression" dxfId="451" priority="259" stopIfTrue="1">
      <formula>ISBLANK(D475)</formula>
    </cfRule>
    <cfRule type="cellIs" dxfId="450" priority="258" stopIfTrue="1" operator="equal">
      <formula>"-"</formula>
    </cfRule>
  </conditionalFormatting>
  <conditionalFormatting sqref="D513:D547">
    <cfRule type="cellIs" dxfId="449" priority="257" stopIfTrue="1" operator="equal">
      <formula>"N/D"</formula>
    </cfRule>
    <cfRule type="cellIs" dxfId="448" priority="256" stopIfTrue="1" operator="equal">
      <formula>"N/T"</formula>
    </cfRule>
    <cfRule type="cellIs" dxfId="447" priority="255" stopIfTrue="1" operator="equal">
      <formula>"N/A"</formula>
    </cfRule>
    <cfRule type="cellIs" dxfId="446" priority="254" stopIfTrue="1" operator="equal">
      <formula>"Falla"</formula>
    </cfRule>
    <cfRule type="expression" dxfId="445" priority="252" stopIfTrue="1">
      <formula>ISBLANK(D513)</formula>
    </cfRule>
    <cfRule type="cellIs" dxfId="444" priority="253" stopIfTrue="1" operator="equal">
      <formula>"Pasa"</formula>
    </cfRule>
    <cfRule type="cellIs" dxfId="443" priority="251" stopIfTrue="1" operator="equal">
      <formula>"-"</formula>
    </cfRule>
  </conditionalFormatting>
  <conditionalFormatting sqref="D551:D585">
    <cfRule type="cellIs" dxfId="442" priority="250" stopIfTrue="1" operator="equal">
      <formula>"N/D"</formula>
    </cfRule>
    <cfRule type="cellIs" dxfId="441" priority="249" stopIfTrue="1" operator="equal">
      <formula>"N/T"</formula>
    </cfRule>
    <cfRule type="cellIs" dxfId="440" priority="248" stopIfTrue="1" operator="equal">
      <formula>"N/A"</formula>
    </cfRule>
    <cfRule type="cellIs" dxfId="439" priority="247" stopIfTrue="1" operator="equal">
      <formula>"Falla"</formula>
    </cfRule>
    <cfRule type="cellIs" dxfId="438" priority="246" stopIfTrue="1" operator="equal">
      <formula>"Pasa"</formula>
    </cfRule>
    <cfRule type="expression" dxfId="437" priority="245" stopIfTrue="1">
      <formula>ISBLANK(D551)</formula>
    </cfRule>
    <cfRule type="cellIs" dxfId="436" priority="244" stopIfTrue="1" operator="equal">
      <formula>"-"</formula>
    </cfRule>
  </conditionalFormatting>
  <conditionalFormatting sqref="D589:D623">
    <cfRule type="expression" dxfId="435" priority="238" stopIfTrue="1">
      <formula>ISBLANK(D589)</formula>
    </cfRule>
    <cfRule type="cellIs" dxfId="434" priority="243" stopIfTrue="1" operator="equal">
      <formula>"N/D"</formula>
    </cfRule>
    <cfRule type="cellIs" dxfId="433" priority="242" stopIfTrue="1" operator="equal">
      <formula>"N/T"</formula>
    </cfRule>
    <cfRule type="cellIs" dxfId="432" priority="241" stopIfTrue="1" operator="equal">
      <formula>"N/A"</formula>
    </cfRule>
    <cfRule type="cellIs" dxfId="431" priority="240" stopIfTrue="1" operator="equal">
      <formula>"Falla"</formula>
    </cfRule>
    <cfRule type="cellIs" dxfId="430" priority="239" stopIfTrue="1" operator="equal">
      <formula>"Pasa"</formula>
    </cfRule>
    <cfRule type="cellIs" dxfId="429" priority="237" stopIfTrue="1" operator="equal">
      <formula>"-"</formula>
    </cfRule>
  </conditionalFormatting>
  <conditionalFormatting sqref="D627:D661">
    <cfRule type="cellIs" dxfId="428" priority="236" stopIfTrue="1" operator="equal">
      <formula>"N/D"</formula>
    </cfRule>
    <cfRule type="cellIs" dxfId="427" priority="234" stopIfTrue="1" operator="equal">
      <formula>"N/A"</formula>
    </cfRule>
    <cfRule type="cellIs" dxfId="426" priority="233" stopIfTrue="1" operator="equal">
      <formula>"Falla"</formula>
    </cfRule>
    <cfRule type="cellIs" dxfId="425" priority="232" stopIfTrue="1" operator="equal">
      <formula>"Pasa"</formula>
    </cfRule>
    <cfRule type="expression" dxfId="424" priority="231" stopIfTrue="1">
      <formula>ISBLANK(D627)</formula>
    </cfRule>
    <cfRule type="cellIs" dxfId="423" priority="230" stopIfTrue="1" operator="equal">
      <formula>"-"</formula>
    </cfRule>
    <cfRule type="cellIs" dxfId="422" priority="235" stopIfTrue="1" operator="equal">
      <formula>"N/T"</formula>
    </cfRule>
  </conditionalFormatting>
  <conditionalFormatting sqref="D665:D699">
    <cfRule type="cellIs" dxfId="421" priority="223" stopIfTrue="1" operator="equal">
      <formula>"-"</formula>
    </cfRule>
    <cfRule type="expression" dxfId="420" priority="224" stopIfTrue="1">
      <formula>ISBLANK(D665)</formula>
    </cfRule>
    <cfRule type="cellIs" dxfId="419" priority="226" stopIfTrue="1" operator="equal">
      <formula>"Falla"</formula>
    </cfRule>
    <cfRule type="cellIs" dxfId="418" priority="225" stopIfTrue="1" operator="equal">
      <formula>"Pasa"</formula>
    </cfRule>
    <cfRule type="cellIs" dxfId="417" priority="229" stopIfTrue="1" operator="equal">
      <formula>"N/D"</formula>
    </cfRule>
    <cfRule type="cellIs" dxfId="416" priority="228" stopIfTrue="1" operator="equal">
      <formula>"N/T"</formula>
    </cfRule>
    <cfRule type="cellIs" dxfId="415" priority="227" stopIfTrue="1" operator="equal">
      <formula>"N/A"</formula>
    </cfRule>
  </conditionalFormatting>
  <conditionalFormatting sqref="D703:D737">
    <cfRule type="cellIs" dxfId="414" priority="220" stopIfTrue="1" operator="equal">
      <formula>"N/A"</formula>
    </cfRule>
    <cfRule type="cellIs" dxfId="413" priority="221" stopIfTrue="1" operator="equal">
      <formula>"N/T"</formula>
    </cfRule>
    <cfRule type="cellIs" dxfId="412" priority="222" stopIfTrue="1" operator="equal">
      <formula>"N/D"</formula>
    </cfRule>
    <cfRule type="cellIs" dxfId="411" priority="219" stopIfTrue="1" operator="equal">
      <formula>"Falla"</formula>
    </cfRule>
    <cfRule type="cellIs" dxfId="410" priority="218" stopIfTrue="1" operator="equal">
      <formula>"Pasa"</formula>
    </cfRule>
    <cfRule type="expression" dxfId="409" priority="217" stopIfTrue="1">
      <formula>ISBLANK(D703)</formula>
    </cfRule>
    <cfRule type="cellIs" dxfId="408" priority="216" stopIfTrue="1" operator="equal">
      <formula>"-"</formula>
    </cfRule>
  </conditionalFormatting>
  <conditionalFormatting sqref="D741:D775">
    <cfRule type="cellIs" dxfId="407" priority="215" stopIfTrue="1" operator="equal">
      <formula>"N/D"</formula>
    </cfRule>
    <cfRule type="cellIs" dxfId="406" priority="214" stopIfTrue="1" operator="equal">
      <formula>"N/T"</formula>
    </cfRule>
    <cfRule type="cellIs" dxfId="405" priority="213" stopIfTrue="1" operator="equal">
      <formula>"N/A"</formula>
    </cfRule>
    <cfRule type="cellIs" dxfId="404" priority="212" stopIfTrue="1" operator="equal">
      <formula>"Falla"</formula>
    </cfRule>
    <cfRule type="cellIs" dxfId="403" priority="211" stopIfTrue="1" operator="equal">
      <formula>"Pasa"</formula>
    </cfRule>
    <cfRule type="expression" dxfId="402" priority="210" stopIfTrue="1">
      <formula>ISBLANK(D741)</formula>
    </cfRule>
    <cfRule type="cellIs" dxfId="401" priority="209" stopIfTrue="1" operator="equal">
      <formula>"-"</formula>
    </cfRule>
  </conditionalFormatting>
  <conditionalFormatting sqref="D779:D813">
    <cfRule type="cellIs" dxfId="400" priority="208" stopIfTrue="1" operator="equal">
      <formula>"N/D"</formula>
    </cfRule>
    <cfRule type="cellIs" dxfId="399" priority="207" stopIfTrue="1" operator="equal">
      <formula>"N/T"</formula>
    </cfRule>
    <cfRule type="cellIs" dxfId="398" priority="206" stopIfTrue="1" operator="equal">
      <formula>"N/A"</formula>
    </cfRule>
    <cfRule type="cellIs" dxfId="397" priority="205" stopIfTrue="1" operator="equal">
      <formula>"Falla"</formula>
    </cfRule>
    <cfRule type="cellIs" dxfId="396" priority="204" stopIfTrue="1" operator="equal">
      <formula>"Pasa"</formula>
    </cfRule>
    <cfRule type="expression" dxfId="395" priority="203" stopIfTrue="1">
      <formula>ISBLANK(D779)</formula>
    </cfRule>
    <cfRule type="cellIs" dxfId="394" priority="202" stopIfTrue="1" operator="equal">
      <formula>"-"</formula>
    </cfRule>
  </conditionalFormatting>
  <conditionalFormatting sqref="D817:D851">
    <cfRule type="cellIs" dxfId="393" priority="199" stopIfTrue="1" operator="equal">
      <formula>"N/A"</formula>
    </cfRule>
    <cfRule type="cellIs" dxfId="392" priority="198" stopIfTrue="1" operator="equal">
      <formula>"Falla"</formula>
    </cfRule>
    <cfRule type="cellIs" dxfId="391" priority="200" stopIfTrue="1" operator="equal">
      <formula>"N/T"</formula>
    </cfRule>
    <cfRule type="cellIs" dxfId="390" priority="201" stopIfTrue="1" operator="equal">
      <formula>"N/D"</formula>
    </cfRule>
    <cfRule type="cellIs" dxfId="389" priority="195" stopIfTrue="1" operator="equal">
      <formula>"-"</formula>
    </cfRule>
    <cfRule type="expression" dxfId="388" priority="196" stopIfTrue="1">
      <formula>ISBLANK(D817)</formula>
    </cfRule>
    <cfRule type="cellIs" dxfId="387" priority="197" stopIfTrue="1" operator="equal">
      <formula>"Pasa"</formula>
    </cfRule>
  </conditionalFormatting>
  <conditionalFormatting sqref="D855:D889">
    <cfRule type="cellIs" dxfId="386" priority="188" stopIfTrue="1" operator="equal">
      <formula>"-"</formula>
    </cfRule>
    <cfRule type="expression" dxfId="385" priority="189" stopIfTrue="1">
      <formula>ISBLANK(D855)</formula>
    </cfRule>
    <cfRule type="cellIs" dxfId="384" priority="190" stopIfTrue="1" operator="equal">
      <formula>"Pasa"</formula>
    </cfRule>
    <cfRule type="cellIs" dxfId="383" priority="191" stopIfTrue="1" operator="equal">
      <formula>"Falla"</formula>
    </cfRule>
    <cfRule type="cellIs" dxfId="382" priority="192" stopIfTrue="1" operator="equal">
      <formula>"N/A"</formula>
    </cfRule>
    <cfRule type="cellIs" dxfId="381" priority="193" stopIfTrue="1" operator="equal">
      <formula>"N/T"</formula>
    </cfRule>
    <cfRule type="cellIs" dxfId="380" priority="194" stopIfTrue="1" operator="equal">
      <formula>"N/D"</formula>
    </cfRule>
  </conditionalFormatting>
  <conditionalFormatting sqref="D893:D927">
    <cfRule type="cellIs" dxfId="379" priority="185" stopIfTrue="1" operator="equal">
      <formula>"N/A"</formula>
    </cfRule>
    <cfRule type="cellIs" dxfId="378" priority="187" stopIfTrue="1" operator="equal">
      <formula>"N/D"</formula>
    </cfRule>
    <cfRule type="cellIs" dxfId="377" priority="186" stopIfTrue="1" operator="equal">
      <formula>"N/T"</formula>
    </cfRule>
    <cfRule type="cellIs" dxfId="376" priority="184" stopIfTrue="1" operator="equal">
      <formula>"Falla"</formula>
    </cfRule>
    <cfRule type="cellIs" dxfId="375" priority="183" stopIfTrue="1" operator="equal">
      <formula>"Pasa"</formula>
    </cfRule>
    <cfRule type="expression" dxfId="374" priority="182" stopIfTrue="1">
      <formula>ISBLANK(D893)</formula>
    </cfRule>
    <cfRule type="cellIs" dxfId="373" priority="181" stopIfTrue="1" operator="equal">
      <formula>"-"</formula>
    </cfRule>
  </conditionalFormatting>
  <conditionalFormatting sqref="D931:D965">
    <cfRule type="cellIs" dxfId="372" priority="176" stopIfTrue="1" operator="equal">
      <formula>"Pasa"</formula>
    </cfRule>
    <cfRule type="cellIs" dxfId="371" priority="180" stopIfTrue="1" operator="equal">
      <formula>"N/D"</formula>
    </cfRule>
    <cfRule type="cellIs" dxfId="370" priority="179" stopIfTrue="1" operator="equal">
      <formula>"N/T"</formula>
    </cfRule>
    <cfRule type="cellIs" dxfId="369" priority="178" stopIfTrue="1" operator="equal">
      <formula>"N/A"</formula>
    </cfRule>
    <cfRule type="cellIs" dxfId="368" priority="177" stopIfTrue="1" operator="equal">
      <formula>"Falla"</formula>
    </cfRule>
    <cfRule type="expression" dxfId="367" priority="175" stopIfTrue="1">
      <formula>ISBLANK(D931)</formula>
    </cfRule>
    <cfRule type="cellIs" dxfId="366" priority="174" stopIfTrue="1" operator="equal">
      <formula>"-"</formula>
    </cfRule>
  </conditionalFormatting>
  <conditionalFormatting sqref="D969:D1003">
    <cfRule type="cellIs" dxfId="365" priority="173" stopIfTrue="1" operator="equal">
      <formula>"N/D"</formula>
    </cfRule>
    <cfRule type="cellIs" dxfId="364" priority="172" stopIfTrue="1" operator="equal">
      <formula>"N/T"</formula>
    </cfRule>
    <cfRule type="cellIs" dxfId="363" priority="171" stopIfTrue="1" operator="equal">
      <formula>"N/A"</formula>
    </cfRule>
    <cfRule type="cellIs" dxfId="362" priority="170" stopIfTrue="1" operator="equal">
      <formula>"Falla"</formula>
    </cfRule>
    <cfRule type="cellIs" dxfId="361" priority="169" stopIfTrue="1" operator="equal">
      <formula>"Pasa"</formula>
    </cfRule>
    <cfRule type="expression" dxfId="360" priority="168" stopIfTrue="1">
      <formula>ISBLANK(D969)</formula>
    </cfRule>
    <cfRule type="cellIs" dxfId="359" priority="167" stopIfTrue="1" operator="equal">
      <formula>"-"</formula>
    </cfRule>
  </conditionalFormatting>
  <conditionalFormatting sqref="D1007:D1041">
    <cfRule type="cellIs" dxfId="358" priority="166" stopIfTrue="1" operator="equal">
      <formula>"N/D"</formula>
    </cfRule>
    <cfRule type="cellIs" dxfId="357" priority="165" stopIfTrue="1" operator="equal">
      <formula>"N/T"</formula>
    </cfRule>
    <cfRule type="cellIs" dxfId="356" priority="164" stopIfTrue="1" operator="equal">
      <formula>"N/A"</formula>
    </cfRule>
    <cfRule type="cellIs" dxfId="355" priority="163" stopIfTrue="1" operator="equal">
      <formula>"Falla"</formula>
    </cfRule>
    <cfRule type="cellIs" dxfId="354" priority="162" stopIfTrue="1" operator="equal">
      <formula>"Pasa"</formula>
    </cfRule>
    <cfRule type="expression" dxfId="353" priority="161" stopIfTrue="1">
      <formula>ISBLANK(D1007)</formula>
    </cfRule>
    <cfRule type="cellIs" dxfId="352" priority="160" stopIfTrue="1" operator="equal">
      <formula>"-"</formula>
    </cfRule>
  </conditionalFormatting>
  <conditionalFormatting sqref="D1045:D1079">
    <cfRule type="cellIs" dxfId="351" priority="159" stopIfTrue="1" operator="equal">
      <formula>"N/D"</formula>
    </cfRule>
    <cfRule type="cellIs" dxfId="350" priority="158" stopIfTrue="1" operator="equal">
      <formula>"N/T"</formula>
    </cfRule>
    <cfRule type="cellIs" dxfId="349" priority="157" stopIfTrue="1" operator="equal">
      <formula>"N/A"</formula>
    </cfRule>
    <cfRule type="cellIs" dxfId="348" priority="156" stopIfTrue="1" operator="equal">
      <formula>"Falla"</formula>
    </cfRule>
    <cfRule type="cellIs" dxfId="347" priority="155" stopIfTrue="1" operator="equal">
      <formula>"Pasa"</formula>
    </cfRule>
    <cfRule type="expression" dxfId="346" priority="154" stopIfTrue="1">
      <formula>ISBLANK(D1045)</formula>
    </cfRule>
    <cfRule type="cellIs" dxfId="345" priority="153" stopIfTrue="1" operator="equal">
      <formula>"-"</formula>
    </cfRule>
  </conditionalFormatting>
  <conditionalFormatting sqref="D1083:D1117">
    <cfRule type="cellIs" dxfId="344" priority="148" stopIfTrue="1" operator="equal">
      <formula>"Pasa"</formula>
    </cfRule>
    <cfRule type="cellIs" dxfId="343" priority="151" stopIfTrue="1" operator="equal">
      <formula>"N/T"</formula>
    </cfRule>
    <cfRule type="cellIs" dxfId="342" priority="150" stopIfTrue="1" operator="equal">
      <formula>"N/A"</formula>
    </cfRule>
    <cfRule type="cellIs" dxfId="341" priority="149" stopIfTrue="1" operator="equal">
      <formula>"Falla"</formula>
    </cfRule>
    <cfRule type="expression" dxfId="340" priority="147" stopIfTrue="1">
      <formula>ISBLANK(D1083)</formula>
    </cfRule>
    <cfRule type="cellIs" dxfId="339" priority="152" stopIfTrue="1" operator="equal">
      <formula>"N/D"</formula>
    </cfRule>
    <cfRule type="cellIs" dxfId="338" priority="146" stopIfTrue="1" operator="equal">
      <formula>"-"</formula>
    </cfRule>
  </conditionalFormatting>
  <conditionalFormatting sqref="D1121:D1155">
    <cfRule type="cellIs" dxfId="337" priority="145" stopIfTrue="1" operator="equal">
      <formula>"N/D"</formula>
    </cfRule>
    <cfRule type="cellIs" dxfId="336" priority="144" stopIfTrue="1" operator="equal">
      <formula>"N/T"</formula>
    </cfRule>
    <cfRule type="cellIs" dxfId="335" priority="143" stopIfTrue="1" operator="equal">
      <formula>"N/A"</formula>
    </cfRule>
    <cfRule type="cellIs" dxfId="334" priority="142" stopIfTrue="1" operator="equal">
      <formula>"Falla"</formula>
    </cfRule>
    <cfRule type="cellIs" dxfId="333" priority="141" stopIfTrue="1" operator="equal">
      <formula>"Pasa"</formula>
    </cfRule>
    <cfRule type="expression" dxfId="332" priority="140" stopIfTrue="1">
      <formula>ISBLANK(D1121)</formula>
    </cfRule>
    <cfRule type="cellIs" dxfId="331" priority="139" stopIfTrue="1" operator="equal">
      <formula>"-"</formula>
    </cfRule>
  </conditionalFormatting>
  <conditionalFormatting sqref="D1159:D1193">
    <cfRule type="cellIs" dxfId="330" priority="132" stopIfTrue="1" operator="equal">
      <formula>"-"</formula>
    </cfRule>
    <cfRule type="expression" dxfId="329" priority="133" stopIfTrue="1">
      <formula>ISBLANK(D1159)</formula>
    </cfRule>
    <cfRule type="cellIs" dxfId="328" priority="134" stopIfTrue="1" operator="equal">
      <formula>"Pasa"</formula>
    </cfRule>
    <cfRule type="cellIs" dxfId="327" priority="135" stopIfTrue="1" operator="equal">
      <formula>"Falla"</formula>
    </cfRule>
    <cfRule type="cellIs" dxfId="326" priority="138" stopIfTrue="1" operator="equal">
      <formula>"N/D"</formula>
    </cfRule>
    <cfRule type="cellIs" dxfId="325" priority="136" stopIfTrue="1" operator="equal">
      <formula>"N/A"</formula>
    </cfRule>
    <cfRule type="cellIs" dxfId="324" priority="137" stopIfTrue="1" operator="equal">
      <formula>"N/T"</formula>
    </cfRule>
  </conditionalFormatting>
  <conditionalFormatting sqref="D1197:D1231">
    <cfRule type="cellIs" dxfId="323" priority="131" stopIfTrue="1" operator="equal">
      <formula>"N/D"</formula>
    </cfRule>
    <cfRule type="cellIs" dxfId="322" priority="130" stopIfTrue="1" operator="equal">
      <formula>"N/T"</formula>
    </cfRule>
    <cfRule type="cellIs" dxfId="321" priority="129" stopIfTrue="1" operator="equal">
      <formula>"N/A"</formula>
    </cfRule>
    <cfRule type="cellIs" dxfId="320" priority="128" stopIfTrue="1" operator="equal">
      <formula>"Falla"</formula>
    </cfRule>
    <cfRule type="cellIs" dxfId="319" priority="127" stopIfTrue="1" operator="equal">
      <formula>"Pasa"</formula>
    </cfRule>
    <cfRule type="expression" dxfId="318" priority="126" stopIfTrue="1">
      <formula>ISBLANK(D1197)</formula>
    </cfRule>
    <cfRule type="cellIs" dxfId="317" priority="125" stopIfTrue="1" operator="equal">
      <formula>"-"</formula>
    </cfRule>
  </conditionalFormatting>
  <conditionalFormatting sqref="D1235:D1269">
    <cfRule type="cellIs" dxfId="316" priority="123" stopIfTrue="1" operator="equal">
      <formula>"N/T"</formula>
    </cfRule>
    <cfRule type="cellIs" dxfId="315" priority="124" stopIfTrue="1" operator="equal">
      <formula>"N/D"</formula>
    </cfRule>
    <cfRule type="cellIs" dxfId="314" priority="122" stopIfTrue="1" operator="equal">
      <formula>"N/A"</formula>
    </cfRule>
    <cfRule type="cellIs" dxfId="313" priority="121" stopIfTrue="1" operator="equal">
      <formula>"Falla"</formula>
    </cfRule>
    <cfRule type="cellIs" dxfId="312" priority="120" stopIfTrue="1" operator="equal">
      <formula>"Pasa"</formula>
    </cfRule>
    <cfRule type="expression" dxfId="311" priority="119" stopIfTrue="1">
      <formula>ISBLANK(D1235)</formula>
    </cfRule>
    <cfRule type="cellIs" dxfId="310" priority="118" stopIfTrue="1" operator="equal">
      <formula>"-"</formula>
    </cfRule>
  </conditionalFormatting>
  <conditionalFormatting sqref="D1273:D1307">
    <cfRule type="cellIs" dxfId="309" priority="111" stopIfTrue="1" operator="equal">
      <formula>"-"</formula>
    </cfRule>
    <cfRule type="cellIs" dxfId="308" priority="117" stopIfTrue="1" operator="equal">
      <formula>"N/D"</formula>
    </cfRule>
    <cfRule type="cellIs" dxfId="307" priority="113" stopIfTrue="1" operator="equal">
      <formula>"Pasa"</formula>
    </cfRule>
    <cfRule type="cellIs" dxfId="306" priority="114" stopIfTrue="1" operator="equal">
      <formula>"Falla"</formula>
    </cfRule>
    <cfRule type="cellIs" dxfId="305" priority="115" stopIfTrue="1" operator="equal">
      <formula>"N/A"</formula>
    </cfRule>
    <cfRule type="cellIs" dxfId="304" priority="116" stopIfTrue="1" operator="equal">
      <formula>"N/T"</formula>
    </cfRule>
    <cfRule type="expression" dxfId="303" priority="112" stopIfTrue="1">
      <formula>ISBLANK(D1273)</formula>
    </cfRule>
  </conditionalFormatting>
  <conditionalFormatting sqref="D1311:D1345">
    <cfRule type="cellIs" dxfId="302" priority="110" stopIfTrue="1" operator="equal">
      <formula>"N/D"</formula>
    </cfRule>
    <cfRule type="cellIs" dxfId="301" priority="104" stopIfTrue="1" operator="equal">
      <formula>"-"</formula>
    </cfRule>
    <cfRule type="cellIs" dxfId="300" priority="108" stopIfTrue="1" operator="equal">
      <formula>"N/A"</formula>
    </cfRule>
    <cfRule type="cellIs" dxfId="299" priority="107" stopIfTrue="1" operator="equal">
      <formula>"Falla"</formula>
    </cfRule>
    <cfRule type="cellIs" dxfId="298" priority="106" stopIfTrue="1" operator="equal">
      <formula>"Pasa"</formula>
    </cfRule>
    <cfRule type="expression" dxfId="297" priority="105" stopIfTrue="1">
      <formula>ISBLANK(D1311)</formula>
    </cfRule>
    <cfRule type="cellIs" dxfId="296" priority="109" stopIfTrue="1" operator="equal">
      <formula>"N/T"</formula>
    </cfRule>
  </conditionalFormatting>
  <conditionalFormatting sqref="D1349:D1383">
    <cfRule type="cellIs" dxfId="295" priority="99" stopIfTrue="1" operator="equal">
      <formula>"Pasa"</formula>
    </cfRule>
    <cfRule type="cellIs" dxfId="294" priority="103" stopIfTrue="1" operator="equal">
      <formula>"N/D"</formula>
    </cfRule>
    <cfRule type="cellIs" dxfId="293" priority="102" stopIfTrue="1" operator="equal">
      <formula>"N/T"</formula>
    </cfRule>
    <cfRule type="cellIs" dxfId="292" priority="101" stopIfTrue="1" operator="equal">
      <formula>"N/A"</formula>
    </cfRule>
    <cfRule type="cellIs" dxfId="291" priority="100" stopIfTrue="1" operator="equal">
      <formula>"Falla"</formula>
    </cfRule>
    <cfRule type="cellIs" dxfId="290" priority="97" stopIfTrue="1" operator="equal">
      <formula>"-"</formula>
    </cfRule>
    <cfRule type="expression" dxfId="289" priority="98" stopIfTrue="1">
      <formula>ISBLANK(D1349)</formula>
    </cfRule>
  </conditionalFormatting>
  <conditionalFormatting sqref="D1387:D1421">
    <cfRule type="cellIs" dxfId="288" priority="96" stopIfTrue="1" operator="equal">
      <formula>"N/D"</formula>
    </cfRule>
    <cfRule type="cellIs" dxfId="287" priority="95" stopIfTrue="1" operator="equal">
      <formula>"N/T"</formula>
    </cfRule>
    <cfRule type="cellIs" dxfId="286" priority="94" stopIfTrue="1" operator="equal">
      <formula>"N/A"</formula>
    </cfRule>
    <cfRule type="cellIs" dxfId="285" priority="93" stopIfTrue="1" operator="equal">
      <formula>"Falla"</formula>
    </cfRule>
    <cfRule type="cellIs" dxfId="284" priority="92" stopIfTrue="1" operator="equal">
      <formula>"Pasa"</formula>
    </cfRule>
    <cfRule type="expression" dxfId="283" priority="91" stopIfTrue="1">
      <formula>ISBLANK(D1387)</formula>
    </cfRule>
    <cfRule type="cellIs" dxfId="282" priority="90" stopIfTrue="1" operator="equal">
      <formula>"-"</formula>
    </cfRule>
  </conditionalFormatting>
  <conditionalFormatting sqref="D1425:D1459">
    <cfRule type="cellIs" dxfId="281" priority="88" stopIfTrue="1" operator="equal">
      <formula>"N/T"</formula>
    </cfRule>
    <cfRule type="cellIs" dxfId="280" priority="89" stopIfTrue="1" operator="equal">
      <formula>"N/D"</formula>
    </cfRule>
    <cfRule type="cellIs" dxfId="279" priority="87" stopIfTrue="1" operator="equal">
      <formula>"N/A"</formula>
    </cfRule>
    <cfRule type="cellIs" dxfId="278" priority="86" stopIfTrue="1" operator="equal">
      <formula>"Falla"</formula>
    </cfRule>
    <cfRule type="cellIs" dxfId="277" priority="85" stopIfTrue="1" operator="equal">
      <formula>"Pasa"</formula>
    </cfRule>
    <cfRule type="expression" dxfId="276" priority="84" stopIfTrue="1">
      <formula>ISBLANK(D1425)</formula>
    </cfRule>
    <cfRule type="cellIs" dxfId="275" priority="83" stopIfTrue="1" operator="equal">
      <formula>"-"</formula>
    </cfRule>
  </conditionalFormatting>
  <conditionalFormatting sqref="D1463:D1497">
    <cfRule type="cellIs" dxfId="274" priority="82" stopIfTrue="1" operator="equal">
      <formula>"N/D"</formula>
    </cfRule>
    <cfRule type="cellIs" dxfId="273" priority="81" stopIfTrue="1" operator="equal">
      <formula>"N/T"</formula>
    </cfRule>
    <cfRule type="cellIs" dxfId="272" priority="80" stopIfTrue="1" operator="equal">
      <formula>"N/A"</formula>
    </cfRule>
    <cfRule type="cellIs" dxfId="271" priority="79" stopIfTrue="1" operator="equal">
      <formula>"Falla"</formula>
    </cfRule>
    <cfRule type="cellIs" dxfId="270" priority="78" stopIfTrue="1" operator="equal">
      <formula>"Pasa"</formula>
    </cfRule>
    <cfRule type="expression" dxfId="269" priority="77" stopIfTrue="1">
      <formula>ISBLANK(D1463)</formula>
    </cfRule>
    <cfRule type="cellIs" dxfId="268" priority="76" stopIfTrue="1" operator="equal">
      <formula>"-"</formula>
    </cfRule>
  </conditionalFormatting>
  <conditionalFormatting sqref="D1501:D1535">
    <cfRule type="cellIs" dxfId="267" priority="75" stopIfTrue="1" operator="equal">
      <formula>"N/D"</formula>
    </cfRule>
    <cfRule type="cellIs" dxfId="266" priority="74" stopIfTrue="1" operator="equal">
      <formula>"N/T"</formula>
    </cfRule>
    <cfRule type="cellIs" dxfId="265" priority="73" stopIfTrue="1" operator="equal">
      <formula>"N/A"</formula>
    </cfRule>
    <cfRule type="cellIs" dxfId="264" priority="72" stopIfTrue="1" operator="equal">
      <formula>"Falla"</formula>
    </cfRule>
    <cfRule type="cellIs" dxfId="263" priority="71" stopIfTrue="1" operator="equal">
      <formula>"Pasa"</formula>
    </cfRule>
    <cfRule type="expression" dxfId="262" priority="70" stopIfTrue="1">
      <formula>ISBLANK(D1501)</formula>
    </cfRule>
    <cfRule type="cellIs" dxfId="261" priority="69" stopIfTrue="1" operator="equal">
      <formula>"-"</formula>
    </cfRule>
  </conditionalFormatting>
  <conditionalFormatting sqref="D1539:D1573">
    <cfRule type="cellIs" dxfId="260" priority="67" stopIfTrue="1" operator="equal">
      <formula>"N/T"</formula>
    </cfRule>
    <cfRule type="cellIs" dxfId="259" priority="66" stopIfTrue="1" operator="equal">
      <formula>"N/A"</formula>
    </cfRule>
    <cfRule type="cellIs" dxfId="258" priority="65" stopIfTrue="1" operator="equal">
      <formula>"Falla"</formula>
    </cfRule>
    <cfRule type="cellIs" dxfId="257" priority="64" stopIfTrue="1" operator="equal">
      <formula>"Pasa"</formula>
    </cfRule>
    <cfRule type="expression" dxfId="256" priority="63" stopIfTrue="1">
      <formula>ISBLANK(D1539)</formula>
    </cfRule>
    <cfRule type="cellIs" dxfId="255" priority="68" stopIfTrue="1" operator="equal">
      <formula>"N/D"</formula>
    </cfRule>
    <cfRule type="cellIs" dxfId="254" priority="62" stopIfTrue="1" operator="equal">
      <formula>"-"</formula>
    </cfRule>
  </conditionalFormatting>
  <conditionalFormatting sqref="D1577:D1611">
    <cfRule type="cellIs" dxfId="253" priority="58" stopIfTrue="1" operator="equal">
      <formula>"Falla"</formula>
    </cfRule>
    <cfRule type="cellIs" dxfId="252" priority="61" stopIfTrue="1" operator="equal">
      <formula>"N/D"</formula>
    </cfRule>
    <cfRule type="cellIs" dxfId="251" priority="60" stopIfTrue="1" operator="equal">
      <formula>"N/T"</formula>
    </cfRule>
    <cfRule type="cellIs" dxfId="250" priority="59" stopIfTrue="1" operator="equal">
      <formula>"N/A"</formula>
    </cfRule>
    <cfRule type="cellIs" dxfId="249" priority="57" stopIfTrue="1" operator="equal">
      <formula>"Pasa"</formula>
    </cfRule>
    <cfRule type="expression" dxfId="248" priority="56" stopIfTrue="1">
      <formula>ISBLANK(D1577)</formula>
    </cfRule>
    <cfRule type="cellIs" dxfId="247" priority="55" stopIfTrue="1" operator="equal">
      <formula>"-"</formula>
    </cfRule>
  </conditionalFormatting>
  <conditionalFormatting sqref="D1615:D1649">
    <cfRule type="cellIs" dxfId="246" priority="54" stopIfTrue="1" operator="equal">
      <formula>"N/D"</formula>
    </cfRule>
    <cfRule type="cellIs" dxfId="245" priority="53" stopIfTrue="1" operator="equal">
      <formula>"N/T"</formula>
    </cfRule>
    <cfRule type="cellIs" dxfId="244" priority="52" stopIfTrue="1" operator="equal">
      <formula>"N/A"</formula>
    </cfRule>
    <cfRule type="cellIs" dxfId="243" priority="51" stopIfTrue="1" operator="equal">
      <formula>"Falla"</formula>
    </cfRule>
    <cfRule type="cellIs" dxfId="242" priority="50" stopIfTrue="1" operator="equal">
      <formula>"Pasa"</formula>
    </cfRule>
    <cfRule type="expression" dxfId="241" priority="49" stopIfTrue="1">
      <formula>ISBLANK(D1615)</formula>
    </cfRule>
    <cfRule type="cellIs" dxfId="240" priority="48" stopIfTrue="1" operator="equal">
      <formula>"-"</formula>
    </cfRule>
  </conditionalFormatting>
  <conditionalFormatting sqref="D1653:D1687">
    <cfRule type="cellIs" dxfId="239" priority="41" stopIfTrue="1" operator="equal">
      <formula>"-"</formula>
    </cfRule>
    <cfRule type="expression" dxfId="238" priority="42" stopIfTrue="1">
      <formula>ISBLANK(D1653)</formula>
    </cfRule>
    <cfRule type="cellIs" dxfId="237" priority="45" stopIfTrue="1" operator="equal">
      <formula>"N/A"</formula>
    </cfRule>
    <cfRule type="cellIs" dxfId="236" priority="43" stopIfTrue="1" operator="equal">
      <formula>"Pasa"</formula>
    </cfRule>
    <cfRule type="cellIs" dxfId="235" priority="44" stopIfTrue="1" operator="equal">
      <formula>"Falla"</formula>
    </cfRule>
    <cfRule type="cellIs" dxfId="234" priority="47" stopIfTrue="1" operator="equal">
      <formula>"N/D"</formula>
    </cfRule>
    <cfRule type="cellIs" dxfId="233" priority="46" stopIfTrue="1" operator="equal">
      <formula>"N/T"</formula>
    </cfRule>
  </conditionalFormatting>
  <conditionalFormatting sqref="D1691:D1725">
    <cfRule type="cellIs" dxfId="232" priority="19" stopIfTrue="1" operator="equal">
      <formula>"N/D"</formula>
    </cfRule>
    <cfRule type="cellIs" dxfId="231" priority="13" stopIfTrue="1" operator="equal">
      <formula>"-"</formula>
    </cfRule>
    <cfRule type="cellIs" dxfId="230" priority="18" stopIfTrue="1" operator="equal">
      <formula>"N/T"</formula>
    </cfRule>
    <cfRule type="cellIs" dxfId="229" priority="17" stopIfTrue="1" operator="equal">
      <formula>"N/A"</formula>
    </cfRule>
    <cfRule type="cellIs" dxfId="228" priority="16" stopIfTrue="1" operator="equal">
      <formula>"Falla"</formula>
    </cfRule>
    <cfRule type="cellIs" dxfId="227" priority="15" stopIfTrue="1" operator="equal">
      <formula>"Pasa"</formula>
    </cfRule>
    <cfRule type="expression" dxfId="22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225" priority="687" stopIfTrue="1" operator="equal">
      <formula>"ERR"</formula>
    </cfRule>
  </conditionalFormatting>
  <conditionalFormatting sqref="E741:E775 E779:E813 E817:E851 E855:E889 E893:E927 E931:E965 E1007:E1041 E1045:E1079 E1083:E1117 E1121:E1155 E1159:E1193 E1197:E1231 E1235:E1269 E1273:E1307">
    <cfRule type="cellIs" dxfId="224" priority="566" stopIfTrue="1" operator="equal">
      <formula>"ERR"</formula>
    </cfRule>
  </conditionalFormatting>
  <conditionalFormatting sqref="E969:E1004">
    <cfRule type="cellIs" dxfId="223" priority="407" stopIfTrue="1" operator="equal">
      <formula>"ERR"</formula>
    </cfRule>
  </conditionalFormatting>
  <conditionalFormatting sqref="E1311:E1345 E1387:E1421 E1425:E1459 E1463:E1497 E1501:E1535 E1539:E1573 E1577:E1611">
    <cfRule type="cellIs" dxfId="222" priority="475" operator="equal">
      <formula>"ERR"</formula>
    </cfRule>
  </conditionalFormatting>
  <conditionalFormatting sqref="E1349:E1383">
    <cfRule type="cellIs" dxfId="221" priority="394" operator="equal">
      <formula>"ERR"</formula>
    </cfRule>
  </conditionalFormatting>
  <conditionalFormatting sqref="E1615:E1649 E1653:E1687">
    <cfRule type="cellIs" dxfId="220" priority="426" stopIfTrue="1" operator="equal">
      <formula>"ERR"</formula>
    </cfRule>
  </conditionalFormatting>
  <conditionalFormatting sqref="E1691:E1725">
    <cfRule type="cellIs" dxfId="21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218" priority="681" stopIfTrue="1">
      <formula>ISBLANK(F19)</formula>
    </cfRule>
    <cfRule type="cellIs" dxfId="217" priority="683" stopIfTrue="1" operator="equal">
      <formula>"Falla"</formula>
    </cfRule>
    <cfRule type="cellIs" dxfId="216" priority="684" stopIfTrue="1" operator="equal">
      <formula>"N/A"</formula>
    </cfRule>
    <cfRule type="cellIs" dxfId="215" priority="685" stopIfTrue="1" operator="equal">
      <formula>"N/T"</formula>
    </cfRule>
    <cfRule type="cellIs" dxfId="214" priority="686" stopIfTrue="1" operator="equal">
      <formula>"N/D"</formula>
    </cfRule>
    <cfRule type="cellIs" dxfId="213" priority="682" stopIfTrue="1" operator="equal">
      <formula>"Pasa"</formula>
    </cfRule>
  </conditionalFormatting>
  <conditionalFormatting sqref="K23:K24">
    <cfRule type="cellIs" dxfId="212" priority="5" stopIfTrue="1" operator="equal">
      <formula>"N/T"</formula>
    </cfRule>
    <cfRule type="cellIs" dxfId="211" priority="4" stopIfTrue="1" operator="equal">
      <formula>"N/A"</formula>
    </cfRule>
    <cfRule type="expression" dxfId="210" priority="1" stopIfTrue="1">
      <formula>ISBLANK(K23)</formula>
    </cfRule>
    <cfRule type="cellIs" dxfId="209" priority="2" stopIfTrue="1" operator="equal">
      <formula>"Pasa"</formula>
    </cfRule>
    <cfRule type="cellIs" dxfId="208" priority="6" stopIfTrue="1" operator="equal">
      <formula>"N/D"</formula>
    </cfRule>
    <cfRule type="cellIs" dxfId="20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Valme Martín</cp:lastModifiedBy>
  <cp:revision>109</cp:revision>
  <dcterms:created xsi:type="dcterms:W3CDTF">2020-03-26T13:14:48Z</dcterms:created>
  <dcterms:modified xsi:type="dcterms:W3CDTF">2025-09-04T10:39:50Z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ies>
</file>