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codeName="ThisWorkbook" defaultThemeVersion="124226"/>
  <mc:AlternateContent xmlns:mc="http://schemas.openxmlformats.org/markup-compatibility/2006">
    <mc:Choice Requires="x15">
      <x15ac:absPath xmlns:x15ac="http://schemas.microsoft.com/office/spreadsheetml/2010/11/ac" url="https://aiccm-my.sharepoint.com/personal/mrl7116_madrid_org/Documents/ACCESIBILIDAD/iras-completos/"/>
    </mc:Choice>
  </mc:AlternateContent>
  <xr:revisionPtr revIDLastSave="7" documentId="8_{72190BD0-08FC-4704-A720-845A522622A6}" xr6:coauthVersionLast="47" xr6:coauthVersionMax="47" xr10:uidLastSave="{9E0FE3DE-6F7F-4D8C-BA0F-773C77321023}"/>
  <bookViews>
    <workbookView xWindow="-110" yWindow="-110" windowWidth="19420" windowHeight="10300" tabRatio="808" activeTab="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E1899" i="22"/>
  <c r="E1897" i="22"/>
  <c r="E1895" i="22"/>
  <c r="E1893" i="22"/>
  <c r="E1891" i="22"/>
  <c r="E1889" i="22"/>
  <c r="E1887" i="22"/>
  <c r="E1885" i="22"/>
  <c r="E1884" i="22"/>
  <c r="E1883" i="22"/>
  <c r="E1882" i="22"/>
  <c r="E1888" i="22" l="1"/>
  <c r="E1892" i="22"/>
  <c r="E1896" i="22"/>
  <c r="E1900" i="22"/>
  <c r="D1904" i="22"/>
  <c r="E1904" i="22" s="1"/>
  <c r="D1908" i="22"/>
  <c r="E1908" i="22" s="1"/>
  <c r="D1912" i="22"/>
  <c r="E1912" i="22" s="1"/>
  <c r="E1886" i="22"/>
  <c r="E1890" i="22"/>
  <c r="E1894" i="22"/>
  <c r="E1898" i="22"/>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CG20" i="9" a="1"/>
  <c r="K1882" i="22"/>
  <c r="CG20" i="9" l="1"/>
  <c r="DC3" i="19" s="1"/>
  <c r="D157" i="14"/>
  <c r="D238" i="5"/>
  <c r="D1165" i="21"/>
  <c r="D139" i="21"/>
  <c r="D198" i="18"/>
  <c r="D308" i="15"/>
  <c r="D51" i="13"/>
  <c r="D82" i="13"/>
  <c r="D90" i="13"/>
  <c r="D668" i="21"/>
  <c r="D672" i="21"/>
  <c r="D723" i="21"/>
  <c r="D424" i="22"/>
  <c r="D1336" i="22"/>
  <c r="D1332" i="22"/>
  <c r="D1873" i="22"/>
  <c r="D927" i="22"/>
  <c r="D1486" i="21"/>
  <c r="T13" i="19"/>
  <c r="V13" i="19" s="1"/>
  <c r="T17" i="19"/>
  <c r="V17" i="19" s="1"/>
  <c r="CG54" i="9" a="1"/>
  <c r="CG54" i="9" s="1"/>
  <c r="DC37" i="19" s="1"/>
  <c r="T37" i="19"/>
  <c r="V37" i="19" s="1"/>
  <c r="T6" i="19"/>
  <c r="V6" i="19" s="1"/>
  <c r="T10" i="19"/>
  <c r="V10" i="19" s="1"/>
  <c r="T14" i="19"/>
  <c r="V14" i="19" s="1"/>
  <c r="T18" i="19"/>
  <c r="V18" i="19" s="1"/>
  <c r="T22" i="19"/>
  <c r="V22" i="19" s="1"/>
  <c r="CG43" i="9" a="1"/>
  <c r="CG43" i="9" s="1"/>
  <c r="DC26" i="19" s="1"/>
  <c r="T26" i="19"/>
  <c r="V26" i="19" s="1"/>
  <c r="CG47" i="9" a="1"/>
  <c r="CG47" i="9" s="1"/>
  <c r="DC30" i="19" s="1"/>
  <c r="T30" i="19"/>
  <c r="V30" i="19" s="1"/>
  <c r="CG51" i="9" a="1"/>
  <c r="CG51" i="9" s="1"/>
  <c r="DC34" i="19" s="1"/>
  <c r="T34" i="19"/>
  <c r="V34" i="19" s="1"/>
  <c r="D357" i="15"/>
  <c r="D1487" i="21"/>
  <c r="D1561" i="21"/>
  <c r="T21" i="19"/>
  <c r="V21" i="19" s="1"/>
  <c r="CG50" i="9" a="1"/>
  <c r="CG50" i="9" s="1"/>
  <c r="DC33" i="19" s="1"/>
  <c r="T33" i="19"/>
  <c r="V33" i="19" s="1"/>
  <c r="CG46" i="9" a="1"/>
  <c r="CG46" i="9" s="1"/>
  <c r="DC29" i="19" s="1"/>
  <c r="T29" i="19"/>
  <c r="V29" i="19" s="1"/>
  <c r="T4" i="19"/>
  <c r="V4" i="19" s="1"/>
  <c r="T8" i="19"/>
  <c r="V8" i="19" s="1"/>
  <c r="T12" i="19"/>
  <c r="V12" i="19" s="1"/>
  <c r="T16" i="19"/>
  <c r="V16"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4" i="22"/>
  <c r="D46" i="5"/>
  <c r="D236" i="5"/>
  <c r="D240" i="5"/>
  <c r="D127" i="18"/>
  <c r="T5" i="19"/>
  <c r="V5" i="19" s="1"/>
  <c r="T9" i="19"/>
  <c r="V9" i="19" s="1"/>
  <c r="CG42" i="9" a="1"/>
  <c r="CG42" i="9" s="1"/>
  <c r="DC25" i="19" s="1"/>
  <c r="T25" i="19"/>
  <c r="V25" i="19" s="1"/>
  <c r="T7" i="19"/>
  <c r="V7" i="19" s="1"/>
  <c r="T11" i="19"/>
  <c r="V11" i="19" s="1"/>
  <c r="T15" i="19"/>
  <c r="V15"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272" i="15"/>
  <c r="D276" i="15"/>
  <c r="D391" i="21"/>
  <c r="D430" i="21"/>
  <c r="D535" i="21"/>
  <c r="D539" i="21"/>
  <c r="D543" i="21"/>
  <c r="D570" i="21"/>
  <c r="D574" i="21"/>
  <c r="D578" i="21"/>
  <c r="D628" i="21"/>
  <c r="D644" i="21"/>
  <c r="D864" i="21"/>
  <c r="D876" i="21"/>
  <c r="D239" i="5"/>
  <c r="D43" i="18"/>
  <c r="D129" i="15"/>
  <c r="D1648" i="22"/>
  <c r="D1644" i="22"/>
  <c r="D1635" i="22"/>
  <c r="D204" i="22"/>
  <c r="D200" i="22"/>
  <c r="D196" i="22"/>
  <c r="D192" i="22"/>
  <c r="D466" i="22"/>
  <c r="D993" i="22"/>
  <c r="D1411" i="22"/>
  <c r="D1454" i="22"/>
  <c r="D1446"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46" i="18"/>
  <c r="D81" i="18"/>
  <c r="D42" i="21"/>
  <c r="D595" i="21"/>
  <c r="D603" i="21"/>
  <c r="D619" i="21"/>
  <c r="D638" i="21"/>
  <c r="D988" i="21"/>
  <c r="D1096" i="21"/>
  <c r="D1170" i="21"/>
  <c r="D1174" i="21"/>
  <c r="D1178" i="21"/>
  <c r="D1223" i="21"/>
  <c r="D1227" i="21"/>
  <c r="D1262" i="21"/>
  <c r="D1266" i="21"/>
  <c r="D1622" i="21"/>
  <c r="D91" i="15"/>
  <c r="D155" i="15"/>
  <c r="D163" i="15"/>
  <c r="D201" i="14"/>
  <c r="D193" i="14"/>
  <c r="D543" i="14"/>
  <c r="D50" i="15"/>
  <c r="D162" i="15"/>
  <c r="D381" i="22"/>
  <c r="D767" i="22"/>
  <c r="D553" i="21"/>
  <c r="D557" i="21"/>
  <c r="D1552" i="21"/>
  <c r="D1567" i="21"/>
  <c r="D1695" i="21"/>
  <c r="D1707" i="21"/>
  <c r="D1720" i="21"/>
  <c r="D124" i="5"/>
  <c r="D162" i="5"/>
  <c r="D166" i="5"/>
  <c r="D48" i="18"/>
  <c r="D123" i="18"/>
  <c r="D197" i="18"/>
  <c r="D201" i="18"/>
  <c r="D267" i="15"/>
  <c r="D394" i="22"/>
  <c r="D390" i="22"/>
  <c r="D386" i="22"/>
  <c r="D382" i="22"/>
  <c r="D1110" i="22"/>
  <c r="D1153" i="22"/>
  <c r="D1145"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306" i="15"/>
  <c r="D952" i="22"/>
  <c r="D1108" i="22"/>
  <c r="D1191" i="22"/>
  <c r="D1345" i="22"/>
  <c r="D1341" i="22"/>
  <c r="D1458" i="22"/>
  <c r="D1453"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8" i="13"/>
  <c r="D126" i="13"/>
  <c r="D506" i="14"/>
  <c r="D695" i="14"/>
  <c r="D52" i="15"/>
  <c r="D203" i="15"/>
  <c r="D204" i="15"/>
  <c r="D205" i="15"/>
  <c r="D231" i="15"/>
  <c r="D234" i="14"/>
  <c r="D44" i="15"/>
  <c r="D46" i="13"/>
  <c r="D165" i="14"/>
  <c r="D243" i="14"/>
  <c r="D239" i="14"/>
  <c r="D235" i="14"/>
  <c r="D501" i="14"/>
  <c r="D497" i="14"/>
  <c r="D686" i="14"/>
  <c r="D200" i="15"/>
  <c r="D1643" i="22"/>
  <c r="D1759" i="22"/>
  <c r="D1791" i="22"/>
  <c r="D52" i="21"/>
  <c r="D67" i="21"/>
  <c r="D75" i="21"/>
  <c r="D149" i="21"/>
  <c r="D174" i="21"/>
  <c r="D218" i="21"/>
  <c r="D276" i="21"/>
  <c r="D314" i="21"/>
  <c r="D340" i="21"/>
  <c r="D386" i="21"/>
  <c r="D405" i="21"/>
  <c r="D499" i="21"/>
  <c r="D503" i="21"/>
  <c r="D514" i="21"/>
  <c r="D470" i="22"/>
  <c r="D458" i="22"/>
  <c r="D732" i="22"/>
  <c r="D1587" i="21"/>
  <c r="D279" i="15"/>
  <c r="D82" i="22"/>
  <c r="D389" i="22"/>
  <c r="D432" i="22"/>
  <c r="D648" i="22"/>
  <c r="D813" i="22"/>
  <c r="D959" i="22"/>
  <c r="D999" i="22"/>
  <c r="D1032" i="22"/>
  <c r="D1269" i="22"/>
  <c r="D1265" i="22"/>
  <c r="D1492" i="22"/>
  <c r="D1683" i="22"/>
  <c r="D1675" i="22"/>
  <c r="D176" i="21"/>
  <c r="D234" i="21"/>
  <c r="D260" i="21"/>
  <c r="D311" i="21"/>
  <c r="D351" i="21"/>
  <c r="D375" i="21"/>
  <c r="D425" i="21"/>
  <c r="D445" i="21"/>
  <c r="D453" i="21"/>
  <c r="D461" i="21"/>
  <c r="D465" i="21"/>
  <c r="D307"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243" i="5"/>
  <c r="D124" i="18"/>
  <c r="D128" i="18"/>
  <c r="D962" i="21"/>
  <c r="D969" i="21"/>
  <c r="D1056" i="21"/>
  <c r="D1071" i="21"/>
  <c r="D1075" i="21"/>
  <c r="D1224" i="21"/>
  <c r="D1312" i="21"/>
  <c r="D1343" i="21"/>
  <c r="D1344" i="21"/>
  <c r="D1359" i="21"/>
  <c r="D81" i="5"/>
  <c r="D86" i="5"/>
  <c r="D116" i="5"/>
  <c r="D126" i="5"/>
  <c r="D128" i="5"/>
  <c r="D201" i="5"/>
  <c r="D205" i="5"/>
  <c r="D230" i="5"/>
  <c r="D231" i="5"/>
  <c r="D232" i="5"/>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83" i="13"/>
  <c r="D91" i="13"/>
  <c r="D121" i="13"/>
  <c r="D125" i="13"/>
  <c r="D167" i="14"/>
  <c r="D231" i="14"/>
  <c r="D383" i="14"/>
  <c r="D509" i="14"/>
  <c r="D498" i="14"/>
  <c r="D687" i="14"/>
  <c r="D196" i="15"/>
  <c r="D348" i="15"/>
  <c r="D352" i="15"/>
  <c r="D46" i="22"/>
  <c r="D40" i="22"/>
  <c r="D90" i="22"/>
  <c r="D467" i="22"/>
  <c r="D42" i="13"/>
  <c r="D47" i="13"/>
  <c r="D50" i="13"/>
  <c r="D159" i="14"/>
  <c r="D394" i="14"/>
  <c r="D432" i="14"/>
  <c r="D428" i="14"/>
  <c r="D424" i="14"/>
  <c r="D420" i="14"/>
  <c r="D505" i="14"/>
  <c r="D535" i="14"/>
  <c r="D584" i="14"/>
  <c r="D579" i="14"/>
  <c r="D736" i="14"/>
  <c r="D89" i="15"/>
  <c r="D124" i="15"/>
  <c r="D125" i="15"/>
  <c r="D126" i="15"/>
  <c r="D127" i="15"/>
  <c r="D154" i="15"/>
  <c r="D159" i="15"/>
  <c r="D160" i="15"/>
  <c r="D167" i="15"/>
  <c r="D199" i="15"/>
  <c r="D230" i="15"/>
  <c r="D241" i="15"/>
  <c r="D242" i="15"/>
  <c r="D243" i="15"/>
  <c r="D268" i="15"/>
  <c r="D271" i="15"/>
  <c r="D350" i="15"/>
  <c r="D91" i="22"/>
  <c r="D83" i="22"/>
  <c r="D121" i="22"/>
  <c r="D155" i="22"/>
  <c r="D239" i="22"/>
  <c r="D231" i="22"/>
  <c r="D393" i="22"/>
  <c r="D385" i="22"/>
  <c r="D428" i="22"/>
  <c r="D420" i="22"/>
  <c r="D733" i="22"/>
  <c r="D725" i="22"/>
  <c r="D44" i="13"/>
  <c r="D52" i="13"/>
  <c r="D79" i="13"/>
  <c r="D87" i="13"/>
  <c r="D124" i="13"/>
  <c r="D127" i="13"/>
  <c r="D128" i="13"/>
  <c r="D129" i="13"/>
  <c r="D88" i="15"/>
  <c r="D115" i="15"/>
  <c r="D120" i="15"/>
  <c r="D166" i="15"/>
  <c r="D193" i="15"/>
  <c r="D229" i="15"/>
  <c r="D240" i="15"/>
  <c r="D314" i="15"/>
  <c r="D345" i="15"/>
  <c r="D349" i="15"/>
  <c r="D355" i="15"/>
  <c r="D471" i="22"/>
  <c r="D585" i="22"/>
  <c r="D581" i="22"/>
  <c r="D577" i="22"/>
  <c r="D573" i="22"/>
  <c r="D656" i="22"/>
  <c r="D655" i="22"/>
  <c r="D647" i="22"/>
  <c r="D885" i="22"/>
  <c r="D876" i="22"/>
  <c r="D923" i="22"/>
  <c r="D919" i="22"/>
  <c r="D994" i="22"/>
  <c r="D1142" i="22"/>
  <c r="D1188" i="22"/>
  <c r="D1307" i="22"/>
  <c r="D1640" i="22"/>
  <c r="D1636" i="22"/>
  <c r="D1750" i="22"/>
  <c r="D1797" i="22"/>
  <c r="D182" i="21"/>
  <c r="D766" i="22"/>
  <c r="D762" i="22"/>
  <c r="D917" i="22"/>
  <c r="D913" i="22"/>
  <c r="D963" i="22"/>
  <c r="D1028" i="22"/>
  <c r="D1180" i="22"/>
  <c r="D1299" i="22"/>
  <c r="D1294" i="22"/>
  <c r="D1331" i="22"/>
  <c r="D1415" i="22"/>
  <c r="D1408" i="22"/>
  <c r="D1493" i="22"/>
  <c r="D922" i="22"/>
  <c r="D918" i="22"/>
  <c r="D914" i="22"/>
  <c r="D964" i="22"/>
  <c r="D960" i="22"/>
  <c r="D118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9" i="5"/>
  <c r="D80" i="5"/>
  <c r="D88" i="5"/>
  <c r="D154" i="5"/>
  <c r="D158" i="5"/>
  <c r="D165" i="5"/>
  <c r="D191" i="5"/>
  <c r="D192" i="5"/>
  <c r="D198" i="5"/>
  <c r="D202" i="5"/>
  <c r="D40" i="18"/>
  <c r="D51" i="18"/>
  <c r="D86" i="18"/>
  <c r="D89" i="18"/>
  <c r="D120" i="18"/>
  <c r="D155" i="18"/>
  <c r="D159" i="18"/>
  <c r="D163" i="18"/>
  <c r="D167" i="18"/>
  <c r="D194" i="18"/>
  <c r="D1517" i="21"/>
  <c r="D1524" i="21"/>
  <c r="D1525" i="21"/>
  <c r="D1533" i="21"/>
  <c r="D1541" i="21"/>
  <c r="D1545" i="21"/>
  <c r="D1549" i="21"/>
  <c r="D1553" i="21"/>
  <c r="D1559" i="21"/>
  <c r="D1589" i="21"/>
  <c r="D1596" i="21"/>
  <c r="D1624" i="21"/>
  <c r="D1630" i="21"/>
  <c r="D1631" i="21"/>
  <c r="D1632" i="21"/>
  <c r="D118" i="5"/>
  <c r="D1639" i="21"/>
  <c r="D42" i="5"/>
  <c r="D161" i="5"/>
  <c r="D91" i="18"/>
  <c r="D116" i="18"/>
  <c r="D1505" i="21"/>
  <c r="D1562" i="21"/>
  <c r="D1569" i="21"/>
  <c r="D1578" i="21"/>
  <c r="D1580" i="21"/>
  <c r="D1605" i="21"/>
  <c r="D1647" i="21"/>
  <c r="D1648" i="21"/>
  <c r="D1664" i="21"/>
  <c r="D1668" i="21"/>
  <c r="D1669" i="21"/>
  <c r="D1674" i="21"/>
  <c r="D1684" i="21"/>
  <c r="D1685" i="21"/>
  <c r="D1693" i="21"/>
  <c r="D1700" i="21"/>
  <c r="D1702" i="21"/>
  <c r="D41" i="5"/>
  <c r="D49" i="5"/>
  <c r="D82" i="5"/>
  <c r="D90" i="5"/>
  <c r="D115" i="5"/>
  <c r="D123" i="5"/>
  <c r="D234" i="5"/>
  <c r="D242" i="5"/>
  <c r="D51" i="15"/>
  <c r="D87" i="15"/>
  <c r="D90" i="15"/>
  <c r="D119" i="15"/>
  <c r="D165" i="15"/>
  <c r="D191" i="15"/>
  <c r="D194" i="15"/>
  <c r="D273" i="15"/>
  <c r="D274" i="15"/>
  <c r="D280" i="15"/>
  <c r="D309" i="15"/>
  <c r="D315" i="15"/>
  <c r="D346" i="15"/>
  <c r="D353" i="15"/>
  <c r="D41" i="22"/>
  <c r="D39" i="13"/>
  <c r="D40" i="13"/>
  <c r="D115" i="13"/>
  <c r="D116" i="13"/>
  <c r="D119" i="13"/>
  <c r="D120" i="13"/>
  <c r="D122" i="13"/>
  <c r="D49" i="14"/>
  <c r="D41" i="14"/>
  <c r="D124" i="14"/>
  <c r="D116" i="14"/>
  <c r="D163" i="14"/>
  <c r="D153" i="14"/>
  <c r="D240" i="14"/>
  <c r="D279" i="14"/>
  <c r="D271" i="14"/>
  <c r="D393" i="14"/>
  <c r="D382" i="14"/>
  <c r="D431" i="14"/>
  <c r="D423" i="14"/>
  <c r="D534" i="14"/>
  <c r="D533" i="14"/>
  <c r="D580" i="14"/>
  <c r="D575" i="14"/>
  <c r="D618" i="14"/>
  <c r="D610" i="14"/>
  <c r="D654" i="14"/>
  <c r="D691" i="14"/>
  <c r="D50" i="22"/>
  <c r="D42" i="22"/>
  <c r="D41" i="13"/>
  <c r="D45" i="13"/>
  <c r="D49" i="13"/>
  <c r="D53" i="13"/>
  <c r="D80" i="13"/>
  <c r="D84" i="13"/>
  <c r="D88" i="13"/>
  <c r="D502" i="14"/>
  <c r="D576" i="14"/>
  <c r="D571" i="14"/>
  <c r="D619" i="14"/>
  <c r="D611" i="14"/>
  <c r="D733" i="14"/>
  <c r="D42" i="15"/>
  <c r="D43" i="15"/>
  <c r="D82" i="15"/>
  <c r="D123" i="15"/>
  <c r="D153" i="15"/>
  <c r="D156" i="15"/>
  <c r="D157" i="15"/>
  <c r="D158" i="15"/>
  <c r="E172" i="15"/>
  <c r="D192" i="15"/>
  <c r="D198" i="15"/>
  <c r="D201" i="15"/>
  <c r="D202" i="15"/>
  <c r="D239" i="15"/>
  <c r="D270" i="15"/>
  <c r="D277" i="15"/>
  <c r="D278" i="15"/>
  <c r="D305" i="15"/>
  <c r="D311" i="15"/>
  <c r="D312" i="15"/>
  <c r="D313" i="15"/>
  <c r="D319" i="15"/>
  <c r="D343" i="15"/>
  <c r="D344" i="15"/>
  <c r="D77" i="13"/>
  <c r="D81" i="13"/>
  <c r="D85" i="13"/>
  <c r="D89" i="13"/>
  <c r="D117" i="13"/>
  <c r="D53" i="14"/>
  <c r="D45" i="14"/>
  <c r="D128" i="14"/>
  <c r="D120" i="14"/>
  <c r="D161" i="14"/>
  <c r="D155" i="14"/>
  <c r="D200" i="14"/>
  <c r="D199" i="14"/>
  <c r="D192" i="14"/>
  <c r="D191" i="14"/>
  <c r="D236" i="14"/>
  <c r="D388" i="14"/>
  <c r="D427" i="14"/>
  <c r="D419" i="14"/>
  <c r="D542" i="14"/>
  <c r="D541" i="14"/>
  <c r="D583" i="14"/>
  <c r="D572" i="14"/>
  <c r="D658" i="14"/>
  <c r="D650" i="14"/>
  <c r="D39" i="15"/>
  <c r="D40" i="15"/>
  <c r="D41" i="15"/>
  <c r="D45" i="15"/>
  <c r="D46" i="15"/>
  <c r="D77" i="15"/>
  <c r="D79" i="15"/>
  <c r="D80" i="15"/>
  <c r="D81" i="15"/>
  <c r="D84" i="15"/>
  <c r="D85" i="15"/>
  <c r="D86" i="15"/>
  <c r="D116" i="15"/>
  <c r="D117" i="15"/>
  <c r="D118" i="15"/>
  <c r="D128" i="15"/>
  <c r="D195" i="15"/>
  <c r="D233" i="15"/>
  <c r="D234" i="15"/>
  <c r="D235" i="15"/>
  <c r="D236" i="15"/>
  <c r="D237" i="15"/>
  <c r="D275" i="15"/>
  <c r="D310" i="15"/>
  <c r="D317" i="15"/>
  <c r="D318" i="15"/>
  <c r="D347" i="15"/>
  <c r="D657" i="22"/>
  <c r="D649" i="22"/>
  <c r="D734" i="22"/>
  <c r="D761" i="22"/>
  <c r="D807" i="22"/>
  <c r="D356" i="15"/>
  <c r="D49" i="22"/>
  <c r="D115" i="22"/>
  <c r="D162" i="22"/>
  <c r="D161" i="22"/>
  <c r="D154" i="22"/>
  <c r="D153" i="22"/>
  <c r="D203" i="22"/>
  <c r="D195" i="22"/>
  <c r="D238" i="22"/>
  <c r="D230" i="22"/>
  <c r="D357" i="22"/>
  <c r="D349" i="22"/>
  <c r="D459" i="22"/>
  <c r="D496" i="22"/>
  <c r="D88" i="22"/>
  <c r="D80" i="22"/>
  <c r="D126" i="22"/>
  <c r="D316" i="22"/>
  <c r="D308" i="22"/>
  <c r="D460" i="22"/>
  <c r="D726" i="22"/>
  <c r="D765" i="22"/>
  <c r="D884" i="22"/>
  <c r="D925" i="22"/>
  <c r="D53" i="22"/>
  <c r="D45" i="22"/>
  <c r="D120" i="22"/>
  <c r="D199" i="22"/>
  <c r="D191" i="22"/>
  <c r="D241" i="22"/>
  <c r="D233" i="22"/>
  <c r="D353" i="22"/>
  <c r="D345" i="22"/>
  <c r="D465" i="22"/>
  <c r="D621" i="22"/>
  <c r="D613" i="22"/>
  <c r="D768" i="22"/>
  <c r="D1339" i="22"/>
  <c r="D1483" i="22"/>
  <c r="D1566" i="22"/>
  <c r="D1687" i="22"/>
  <c r="D1758" i="22"/>
  <c r="D1798" i="22"/>
  <c r="D1875" i="22"/>
  <c r="D26" i="21"/>
  <c r="D27" i="21"/>
  <c r="D33" i="21"/>
  <c r="D40" i="21"/>
  <c r="D43" i="21"/>
  <c r="D45" i="21"/>
  <c r="D58" i="21"/>
  <c r="D956" i="22"/>
  <c r="D955" i="22"/>
  <c r="D997" i="22"/>
  <c r="D1040" i="22"/>
  <c r="D1114" i="22"/>
  <c r="D1113" i="22"/>
  <c r="D1154" i="22"/>
  <c r="D1146" i="22"/>
  <c r="D1192" i="22"/>
  <c r="D1184" i="22"/>
  <c r="D1414" i="22"/>
  <c r="D61" i="21"/>
  <c r="D69" i="21"/>
  <c r="D77" i="21"/>
  <c r="D85" i="21"/>
  <c r="D96" i="21"/>
  <c r="D104" i="21"/>
  <c r="D112" i="21"/>
  <c r="D120" i="21"/>
  <c r="D128" i="21"/>
  <c r="D187" i="21"/>
  <c r="D191" i="21"/>
  <c r="D214" i="21"/>
  <c r="D271" i="21"/>
  <c r="D279" i="21"/>
  <c r="D306" i="21"/>
  <c r="D877" i="22"/>
  <c r="D926" i="22"/>
  <c r="D921" i="22"/>
  <c r="D915" i="22"/>
  <c r="D951" i="22"/>
  <c r="D998" i="22"/>
  <c r="D1036" i="22"/>
  <c r="D1104" i="22"/>
  <c r="D1149" i="22"/>
  <c r="D1141" i="22"/>
  <c r="D1187" i="22"/>
  <c r="D1179" i="22"/>
  <c r="D1261" i="22"/>
  <c r="D1342" i="22"/>
  <c r="D1335" i="22"/>
  <c r="D1419" i="22"/>
  <c r="D1416" i="22"/>
  <c r="D1570" i="22"/>
  <c r="D1562" i="22"/>
  <c r="D1647" i="22"/>
  <c r="D1639" i="22"/>
  <c r="D1682" i="22"/>
  <c r="D1787" i="22"/>
  <c r="D1867" i="22"/>
  <c r="D24" i="21"/>
  <c r="D38" i="21"/>
  <c r="D50" i="21"/>
  <c r="D242" i="21"/>
  <c r="D1000" i="22"/>
  <c r="D1117" i="22"/>
  <c r="D1150" i="22"/>
  <c r="D1257" i="22"/>
  <c r="D1303" i="22"/>
  <c r="D1407" i="22"/>
  <c r="D1457" i="22"/>
  <c r="D1449" i="22"/>
  <c r="D1491"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45" i="5"/>
  <c r="D48" i="5"/>
  <c r="D51" i="5"/>
  <c r="D78" i="5"/>
  <c r="D117" i="5"/>
  <c r="D125" i="5"/>
  <c r="D153" i="5"/>
  <c r="D197" i="5"/>
  <c r="D1496" i="21"/>
  <c r="D1526" i="21"/>
  <c r="D1540" i="21"/>
  <c r="D122" i="5"/>
  <c r="D159" i="5"/>
  <c r="D163" i="5"/>
  <c r="D167" i="5"/>
  <c r="D195" i="5"/>
  <c r="D1480" i="21"/>
  <c r="D1641" i="21"/>
  <c r="D1649" i="21"/>
  <c r="D1655" i="21"/>
  <c r="D1663" i="21"/>
  <c r="D1667" i="21"/>
  <c r="D1673" i="21"/>
  <c r="D1678" i="21"/>
  <c r="D1683" i="21"/>
  <c r="D1692" i="21"/>
  <c r="E1692" i="21" s="1"/>
  <c r="D1694" i="21"/>
  <c r="D1703" i="21"/>
  <c r="D1706" i="21"/>
  <c r="D1712" i="21"/>
  <c r="D1715" i="21"/>
  <c r="D1724" i="21"/>
  <c r="D40" i="5"/>
  <c r="D43" i="5"/>
  <c r="D53" i="5"/>
  <c r="D121" i="5"/>
  <c r="D129" i="5"/>
  <c r="D156" i="5"/>
  <c r="D157" i="5"/>
  <c r="D160" i="5"/>
  <c r="D164" i="5"/>
  <c r="D193" i="5"/>
  <c r="D194" i="5"/>
  <c r="D84" i="18"/>
  <c r="D1510" i="21"/>
  <c r="D1518" i="21"/>
  <c r="D1534" i="21"/>
  <c r="D1539" i="21"/>
  <c r="D1544" i="21"/>
  <c r="D1548" i="21"/>
  <c r="D1676" i="21"/>
  <c r="D1677" i="21"/>
  <c r="D1701" i="21"/>
  <c r="D84" i="5"/>
  <c r="D53" i="18"/>
  <c r="D88" i="18"/>
  <c r="D119" i="18"/>
  <c r="D199" i="5"/>
  <c r="D200" i="5"/>
  <c r="D229" i="5"/>
  <c r="D233" i="5"/>
  <c r="D237" i="5"/>
  <c r="D241" i="5"/>
  <c r="D44" i="18"/>
  <c r="D50" i="18"/>
  <c r="D79" i="18"/>
  <c r="D85" i="18"/>
  <c r="D154" i="18"/>
  <c r="D162" i="18"/>
  <c r="D193" i="18"/>
  <c r="D45" i="18"/>
  <c r="D205" i="18"/>
  <c r="D203" i="5"/>
  <c r="D204" i="5"/>
  <c r="D39" i="18"/>
  <c r="D42" i="18"/>
  <c r="D52" i="18"/>
  <c r="D77" i="18"/>
  <c r="D87" i="18"/>
  <c r="D90" i="18"/>
  <c r="D115" i="18"/>
  <c r="D157" i="18"/>
  <c r="D158" i="18"/>
  <c r="D165" i="18"/>
  <c r="D166" i="18"/>
  <c r="E1881" i="22"/>
  <c r="D47" i="15"/>
  <c r="D48" i="15"/>
  <c r="D78" i="15"/>
  <c r="D83" i="15"/>
  <c r="D121" i="15"/>
  <c r="D122" i="15"/>
  <c r="D197" i="15"/>
  <c r="D238" i="15"/>
  <c r="D269" i="15"/>
  <c r="D351" i="15"/>
  <c r="D123" i="13"/>
  <c r="D161" i="15"/>
  <c r="D164" i="15"/>
  <c r="D232" i="15"/>
  <c r="D281" i="15"/>
  <c r="D316" i="15"/>
  <c r="D469" i="14"/>
  <c r="D582" i="14"/>
  <c r="D578" i="14"/>
  <c r="D574"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98" i="14"/>
  <c r="D233" i="14"/>
  <c r="D278" i="14"/>
  <c r="D270" i="14"/>
  <c r="D357" i="14"/>
  <c r="D354" i="14"/>
  <c r="D353" i="14"/>
  <c r="D350" i="14"/>
  <c r="D349" i="14"/>
  <c r="D346" i="14"/>
  <c r="D345" i="14"/>
  <c r="D385" i="14"/>
  <c r="D381" i="14"/>
  <c r="D468" i="14"/>
  <c r="D460" i="14"/>
  <c r="D545" i="14"/>
  <c r="D537" i="14"/>
  <c r="D621" i="14"/>
  <c r="D613" i="14"/>
  <c r="D685" i="14"/>
  <c r="D735" i="14"/>
  <c r="D726" i="14"/>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696" i="14"/>
  <c r="D692" i="14"/>
  <c r="D688"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D50" i="14"/>
  <c r="D46" i="14"/>
  <c r="D42" i="14"/>
  <c r="D126" i="14"/>
  <c r="D122" i="14"/>
  <c r="D118" i="14"/>
  <c r="D164" i="14"/>
  <c r="D160" i="14"/>
  <c r="D156" i="14"/>
  <c r="D203" i="14"/>
  <c r="D195" i="14"/>
  <c r="D232" i="14"/>
  <c r="D229" i="14"/>
  <c r="D275" i="14"/>
  <c r="D267" i="14"/>
  <c r="D391" i="14"/>
  <c r="D384" i="14"/>
  <c r="D465" i="14"/>
  <c r="D457" i="14"/>
  <c r="D544" i="14"/>
  <c r="D536" i="14"/>
  <c r="D620" i="14"/>
  <c r="D612" i="14"/>
  <c r="D734" i="14"/>
  <c r="D731" i="14"/>
  <c r="D723" i="14"/>
  <c r="D1116" i="22"/>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202" i="14"/>
  <c r="D194" i="14"/>
  <c r="D274" i="14"/>
  <c r="D319" i="14"/>
  <c r="D316" i="14"/>
  <c r="D315" i="14"/>
  <c r="D312" i="14"/>
  <c r="D311" i="14"/>
  <c r="D308" i="14"/>
  <c r="D307" i="14"/>
  <c r="D392" i="14"/>
  <c r="D430" i="14"/>
  <c r="D426" i="14"/>
  <c r="D422" i="14"/>
  <c r="D464" i="14"/>
  <c r="D617" i="14"/>
  <c r="D609" i="14"/>
  <c r="D730" i="14"/>
  <c r="D1420" i="22"/>
  <c r="D46" i="21"/>
  <c r="D59" i="21"/>
  <c r="D145" i="21"/>
  <c r="D161" i="21"/>
  <c r="D180" i="21"/>
  <c r="D39" i="22"/>
  <c r="D85" i="22"/>
  <c r="D77" i="22"/>
  <c r="D122" i="22"/>
  <c r="D160" i="22"/>
  <c r="D202" i="22"/>
  <c r="D198" i="22"/>
  <c r="D194" i="22"/>
  <c r="D240" i="22"/>
  <c r="D232" i="22"/>
  <c r="D313" i="22"/>
  <c r="D305" i="22"/>
  <c r="D395" i="22"/>
  <c r="D392" i="22"/>
  <c r="D391" i="22"/>
  <c r="D388" i="22"/>
  <c r="D387" i="22"/>
  <c r="D384" i="22"/>
  <c r="D383" i="22"/>
  <c r="D431" i="22"/>
  <c r="D427" i="22"/>
  <c r="D423" i="22"/>
  <c r="D419" i="22"/>
  <c r="D469" i="22"/>
  <c r="D509" i="22"/>
  <c r="D506" i="22"/>
  <c r="D505" i="22"/>
  <c r="D502" i="22"/>
  <c r="D501" i="22"/>
  <c r="D498" i="22"/>
  <c r="D620" i="22"/>
  <c r="D612" i="22"/>
  <c r="D654" i="22"/>
  <c r="D692" i="22"/>
  <c r="D730" i="22"/>
  <c r="D772" i="22"/>
  <c r="D811" i="22"/>
  <c r="D809" i="22"/>
  <c r="D799" i="22"/>
  <c r="D887" i="22"/>
  <c r="D879" i="22"/>
  <c r="D962" i="22"/>
  <c r="D958" i="22"/>
  <c r="D954" i="22"/>
  <c r="D1003" i="22"/>
  <c r="D1002" i="22"/>
  <c r="D989" i="22"/>
  <c r="D1039" i="22"/>
  <c r="D1035" i="22"/>
  <c r="D1031" i="22"/>
  <c r="D1027" i="22"/>
  <c r="D1072" i="22"/>
  <c r="D1071" i="22"/>
  <c r="D1069" i="22"/>
  <c r="D1068" i="22"/>
  <c r="D1067" i="22"/>
  <c r="D1065" i="22"/>
  <c r="D1115" i="22"/>
  <c r="D1229" i="22"/>
  <c r="D1221" i="22"/>
  <c r="D1295" i="22"/>
  <c r="D1338" i="22"/>
  <c r="D1334" i="22"/>
  <c r="D1490" i="22"/>
  <c r="D1532" i="22"/>
  <c r="D1528" i="22"/>
  <c r="D1524" i="22"/>
  <c r="D1646" i="22"/>
  <c r="D1642" i="22"/>
  <c r="D1638" i="22"/>
  <c r="D1677" i="22"/>
  <c r="D1756" i="22"/>
  <c r="D1790" i="22"/>
  <c r="D1789" i="22"/>
  <c r="D1838" i="22"/>
  <c r="D1837" i="22"/>
  <c r="D1834" i="22"/>
  <c r="D1833" i="22"/>
  <c r="D1830" i="22"/>
  <c r="D1829" i="22"/>
  <c r="D1826" i="22"/>
  <c r="D1825" i="22"/>
  <c r="D1874" i="22"/>
  <c r="D1872" i="22"/>
  <c r="D1866" i="22"/>
  <c r="D84" i="22"/>
  <c r="D119" i="22"/>
  <c r="D163" i="22"/>
  <c r="D157" i="22"/>
  <c r="D237" i="22"/>
  <c r="D229" i="22"/>
  <c r="D312" i="22"/>
  <c r="D354" i="22"/>
  <c r="D350" i="22"/>
  <c r="D346" i="22"/>
  <c r="D430" i="22"/>
  <c r="D426" i="22"/>
  <c r="D422" i="22"/>
  <c r="D468" i="22"/>
  <c r="D495" i="22"/>
  <c r="D582" i="22"/>
  <c r="D578" i="22"/>
  <c r="D574" i="22"/>
  <c r="D617" i="22"/>
  <c r="D609" i="22"/>
  <c r="D659" i="22"/>
  <c r="D651" i="22"/>
  <c r="D697" i="22"/>
  <c r="D689" i="22"/>
  <c r="D735" i="22"/>
  <c r="D727" i="22"/>
  <c r="D769" i="22"/>
  <c r="D810" i="22"/>
  <c r="D851" i="22"/>
  <c r="D848" i="22"/>
  <c r="D847" i="22"/>
  <c r="D844" i="22"/>
  <c r="D843" i="22"/>
  <c r="D840" i="22"/>
  <c r="D839" i="22"/>
  <c r="D886" i="22"/>
  <c r="D878" i="22"/>
  <c r="D1001" i="22"/>
  <c r="D1038" i="22"/>
  <c r="D1034" i="22"/>
  <c r="D1030" i="22"/>
  <c r="D1111" i="22"/>
  <c r="D1228" i="22"/>
  <c r="D1220" i="22"/>
  <c r="D1304" i="22"/>
  <c r="D1300" i="22"/>
  <c r="D1296" i="22"/>
  <c r="D1418" i="22"/>
  <c r="D1410" i="22"/>
  <c r="D1495" i="22"/>
  <c r="D1487" i="22"/>
  <c r="D1610" i="22"/>
  <c r="D1609" i="22"/>
  <c r="D1606" i="22"/>
  <c r="D1605" i="22"/>
  <c r="D1602" i="22"/>
  <c r="D1601" i="22"/>
  <c r="D1598" i="22"/>
  <c r="D1597" i="22"/>
  <c r="D1684" i="22"/>
  <c r="D1676" i="22"/>
  <c r="D1674" i="22"/>
  <c r="D1761" i="22"/>
  <c r="D1753" i="22"/>
  <c r="D1751" i="22"/>
  <c r="D1839" i="22"/>
  <c r="D1836" i="22"/>
  <c r="D1835" i="22"/>
  <c r="D1832" i="22"/>
  <c r="D1831" i="22"/>
  <c r="D1828" i="22"/>
  <c r="D1827" i="22"/>
  <c r="D1871" i="22"/>
  <c r="D1863"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89" i="22"/>
  <c r="D81" i="22"/>
  <c r="D125" i="22"/>
  <c r="D118" i="22"/>
  <c r="D167" i="22"/>
  <c r="D164" i="22"/>
  <c r="D156" i="22"/>
  <c r="D236" i="22"/>
  <c r="D281" i="22"/>
  <c r="D278" i="22"/>
  <c r="D277" i="22"/>
  <c r="D274" i="22"/>
  <c r="D273" i="22"/>
  <c r="D270" i="22"/>
  <c r="D269" i="22"/>
  <c r="D317" i="22"/>
  <c r="D309" i="22"/>
  <c r="D464" i="22"/>
  <c r="D463" i="22"/>
  <c r="D461" i="22"/>
  <c r="D457" i="22"/>
  <c r="D544" i="22"/>
  <c r="D540" i="22"/>
  <c r="D536" i="22"/>
  <c r="D616" i="22"/>
  <c r="D658" i="22"/>
  <c r="D650" i="22"/>
  <c r="D696" i="22"/>
  <c r="D688" i="22"/>
  <c r="D883" i="22"/>
  <c r="D875" i="22"/>
  <c r="D1107" i="22"/>
  <c r="D1225" i="22"/>
  <c r="D1223" i="22"/>
  <c r="D1293" i="22"/>
  <c r="D1383" i="22"/>
  <c r="D1381" i="22"/>
  <c r="D1380" i="22"/>
  <c r="D1379" i="22"/>
  <c r="D1377" i="22"/>
  <c r="D1376" i="22"/>
  <c r="D1375" i="22"/>
  <c r="D1373" i="22"/>
  <c r="D1372" i="22"/>
  <c r="D1371" i="22"/>
  <c r="D1369" i="22"/>
  <c r="D1456" i="22"/>
  <c r="D1452" i="22"/>
  <c r="D1448" i="22"/>
  <c r="D1494" i="22"/>
  <c r="D1486" i="22"/>
  <c r="D1608" i="22"/>
  <c r="D1604" i="22"/>
  <c r="D1600" i="22"/>
  <c r="D1681" i="22"/>
  <c r="D1673" i="22"/>
  <c r="D1725" i="22"/>
  <c r="D1722" i="22"/>
  <c r="D1721" i="22"/>
  <c r="D1718" i="22"/>
  <c r="D1717" i="22"/>
  <c r="D1714" i="22"/>
  <c r="D1713" i="22"/>
  <c r="D1760" i="22"/>
  <c r="D1752" i="22"/>
  <c r="D1793" i="22"/>
  <c r="D1870"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497" i="22"/>
  <c r="D693" i="22"/>
  <c r="D685" i="22"/>
  <c r="D731" i="22"/>
  <c r="D723" i="22"/>
  <c r="D771" i="22"/>
  <c r="D764" i="22"/>
  <c r="D812" i="22"/>
  <c r="D806" i="22"/>
  <c r="D805" i="22"/>
  <c r="D802" i="22"/>
  <c r="D801" i="22"/>
  <c r="D800" i="22"/>
  <c r="D882" i="22"/>
  <c r="D924" i="22"/>
  <c r="D920" i="22"/>
  <c r="D916" i="22"/>
  <c r="D996" i="22"/>
  <c r="D992" i="22"/>
  <c r="D1076" i="22"/>
  <c r="D1112" i="22"/>
  <c r="D1106" i="22"/>
  <c r="D1103" i="22"/>
  <c r="D1152" i="22"/>
  <c r="D1148" i="22"/>
  <c r="D1144" i="22"/>
  <c r="D1190" i="22"/>
  <c r="D1186" i="22"/>
  <c r="D1182" i="22"/>
  <c r="D1224" i="22"/>
  <c r="D1266" i="22"/>
  <c r="D1262" i="22"/>
  <c r="D1258" i="22"/>
  <c r="D1680" i="22"/>
  <c r="D1757"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52" i="5"/>
  <c r="D83" i="5"/>
  <c r="D91" i="5"/>
  <c r="D119" i="5"/>
  <c r="D127" i="5"/>
  <c r="D155" i="5"/>
  <c r="D47" i="18"/>
  <c r="D82" i="18"/>
  <c r="D1671" i="21"/>
  <c r="D1679" i="21"/>
  <c r="D1687" i="21"/>
  <c r="D41" i="18"/>
  <c r="D49" i="18"/>
  <c r="D129" i="18"/>
  <c r="D153" i="18"/>
  <c r="D161" i="18"/>
  <c r="D196" i="18"/>
  <c r="D156" i="18"/>
  <c r="D164" i="18"/>
  <c r="D191" i="18"/>
  <c r="D199" i="18"/>
  <c r="D200" i="18"/>
  <c r="D192" i="18"/>
  <c r="D203" i="18"/>
  <c r="D204" i="18"/>
  <c r="D118" i="18"/>
  <c r="D122" i="18"/>
  <c r="D126" i="18"/>
  <c r="D160"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5" i="22"/>
  <c r="D1864" i="22"/>
  <c r="D1800" i="22"/>
  <c r="D1799" i="22"/>
  <c r="D1796" i="22"/>
  <c r="D1795" i="22"/>
  <c r="D1763" i="22"/>
  <c r="D1762" i="22"/>
  <c r="D1755" i="22"/>
  <c r="D1754" i="22"/>
  <c r="D1724" i="22"/>
  <c r="D1723" i="22"/>
  <c r="D1720" i="22"/>
  <c r="D1719" i="22"/>
  <c r="D1716" i="22"/>
  <c r="D1715" i="22"/>
  <c r="D1712" i="22"/>
  <c r="D1711" i="22"/>
  <c r="D1679" i="22"/>
  <c r="D1678" i="22"/>
  <c r="D1686" i="22"/>
  <c r="D1685" i="22"/>
  <c r="D1649" i="22"/>
  <c r="D1645" i="22"/>
  <c r="D1641" i="22"/>
  <c r="D1637" i="22"/>
  <c r="D1611" i="22"/>
  <c r="D1607" i="22"/>
  <c r="D1603" i="22"/>
  <c r="D1599" i="22"/>
  <c r="D1572" i="22"/>
  <c r="D1571" i="22"/>
  <c r="D1568" i="22"/>
  <c r="D1567" i="22"/>
  <c r="D1564" i="22"/>
  <c r="D1563" i="22"/>
  <c r="D1560" i="22"/>
  <c r="D1559" i="22"/>
  <c r="D1573" i="22"/>
  <c r="D1569" i="22"/>
  <c r="D1565" i="22"/>
  <c r="D1561" i="22"/>
  <c r="D1534" i="22"/>
  <c r="D1533" i="22"/>
  <c r="D1530" i="22"/>
  <c r="D1529" i="22"/>
  <c r="D1526" i="22"/>
  <c r="D1525" i="22"/>
  <c r="D1522" i="22"/>
  <c r="D1521" i="22"/>
  <c r="D1535" i="22"/>
  <c r="D1531" i="22"/>
  <c r="D1527" i="22"/>
  <c r="D1523" i="22"/>
  <c r="D1497" i="22"/>
  <c r="D1496" i="22"/>
  <c r="D1489" i="22"/>
  <c r="D1488" i="22"/>
  <c r="D1485" i="22"/>
  <c r="D1484" i="22"/>
  <c r="D1459" i="22"/>
  <c r="D1455" i="22"/>
  <c r="D1451" i="22"/>
  <c r="D1447" i="22"/>
  <c r="D1417" i="22"/>
  <c r="D1409" i="22"/>
  <c r="D1421" i="22"/>
  <c r="D1413" i="22"/>
  <c r="D1382" i="22"/>
  <c r="D1378" i="22"/>
  <c r="D1374" i="22"/>
  <c r="D1370" i="22"/>
  <c r="D1344" i="22"/>
  <c r="D1343" i="22"/>
  <c r="D1340" i="22"/>
  <c r="D1337" i="22"/>
  <c r="D1333" i="22"/>
  <c r="D1306" i="22"/>
  <c r="D1305" i="22"/>
  <c r="D1302" i="22"/>
  <c r="D1301" i="22"/>
  <c r="D1298" i="22"/>
  <c r="D1297" i="22"/>
  <c r="D1268" i="22"/>
  <c r="D1267" i="22"/>
  <c r="D1264" i="22"/>
  <c r="D1263" i="22"/>
  <c r="D1260" i="22"/>
  <c r="D1259" i="22"/>
  <c r="D1256" i="22"/>
  <c r="D1255" i="22"/>
  <c r="D1231" i="22"/>
  <c r="D1230" i="22"/>
  <c r="D1222" i="22"/>
  <c r="D1218" i="22"/>
  <c r="D1217" i="22"/>
  <c r="D1227" i="22"/>
  <c r="D1226" i="22"/>
  <c r="D1219" i="22"/>
  <c r="D1193" i="22"/>
  <c r="D1189" i="22"/>
  <c r="D1185" i="22"/>
  <c r="D1181" i="22"/>
  <c r="D1155" i="22"/>
  <c r="D1151" i="22"/>
  <c r="D1147" i="22"/>
  <c r="D1143" i="22"/>
  <c r="D1109" i="22"/>
  <c r="D1105" i="22"/>
  <c r="D1078" i="22"/>
  <c r="D1074" i="22"/>
  <c r="D1079" i="22"/>
  <c r="D1077" i="22"/>
  <c r="D1075" i="22"/>
  <c r="D1073" i="22"/>
  <c r="D1070" i="22"/>
  <c r="D1066" i="22"/>
  <c r="D1041" i="22"/>
  <c r="D1037" i="22"/>
  <c r="D1033" i="22"/>
  <c r="D1029" i="22"/>
  <c r="D995" i="22"/>
  <c r="D991" i="22"/>
  <c r="D990" i="22"/>
  <c r="D965" i="22"/>
  <c r="D961" i="22"/>
  <c r="D957" i="22"/>
  <c r="D953" i="22"/>
  <c r="D889" i="22"/>
  <c r="D888" i="22"/>
  <c r="D881" i="22"/>
  <c r="D880" i="22"/>
  <c r="D850" i="22"/>
  <c r="D849" i="22"/>
  <c r="D846" i="22"/>
  <c r="D845" i="22"/>
  <c r="D842" i="22"/>
  <c r="D841" i="22"/>
  <c r="D838" i="22"/>
  <c r="D837" i="22"/>
  <c r="D808" i="22"/>
  <c r="D804" i="22"/>
  <c r="D803" i="22"/>
  <c r="D774" i="22"/>
  <c r="D773" i="22"/>
  <c r="D763" i="22"/>
  <c r="D775" i="22"/>
  <c r="D770" i="22"/>
  <c r="D737" i="22"/>
  <c r="D736" i="22"/>
  <c r="D729" i="22"/>
  <c r="D728" i="22"/>
  <c r="D699" i="22"/>
  <c r="D698" i="22"/>
  <c r="D691" i="22"/>
  <c r="D690" i="22"/>
  <c r="D695" i="22"/>
  <c r="D694" i="22"/>
  <c r="D687" i="22"/>
  <c r="D686" i="22"/>
  <c r="D661" i="22"/>
  <c r="D660" i="22"/>
  <c r="D653" i="22"/>
  <c r="D652" i="22"/>
  <c r="D619" i="22"/>
  <c r="D618" i="22"/>
  <c r="D611" i="22"/>
  <c r="D610" i="22"/>
  <c r="D623" i="22"/>
  <c r="D622" i="22"/>
  <c r="D615" i="22"/>
  <c r="D614" i="22"/>
  <c r="D584" i="22"/>
  <c r="D583" i="22"/>
  <c r="D580" i="22"/>
  <c r="D579" i="22"/>
  <c r="D576" i="22"/>
  <c r="D575" i="22"/>
  <c r="D572" i="22"/>
  <c r="D571" i="22"/>
  <c r="D546" i="22"/>
  <c r="D545" i="22"/>
  <c r="D542" i="22"/>
  <c r="D541" i="22"/>
  <c r="D538" i="22"/>
  <c r="D537" i="22"/>
  <c r="D534" i="22"/>
  <c r="D533" i="22"/>
  <c r="D547" i="22"/>
  <c r="D543" i="22"/>
  <c r="D539" i="22"/>
  <c r="D535" i="22"/>
  <c r="D508" i="22"/>
  <c r="D507" i="22"/>
  <c r="D504" i="22"/>
  <c r="D503" i="22"/>
  <c r="D500" i="22"/>
  <c r="D499" i="22"/>
  <c r="D462" i="22"/>
  <c r="D433" i="22"/>
  <c r="D429" i="22"/>
  <c r="D425" i="22"/>
  <c r="D421" i="22"/>
  <c r="D356" i="22"/>
  <c r="D355" i="22"/>
  <c r="D352" i="22"/>
  <c r="D351" i="22"/>
  <c r="D348" i="22"/>
  <c r="D347" i="22"/>
  <c r="D344" i="22"/>
  <c r="D343" i="22"/>
  <c r="D319" i="22"/>
  <c r="D318" i="22"/>
  <c r="D311" i="22"/>
  <c r="D310" i="22"/>
  <c r="D315" i="22"/>
  <c r="D314" i="22"/>
  <c r="D307" i="22"/>
  <c r="D306" i="22"/>
  <c r="D280" i="22"/>
  <c r="D279" i="22"/>
  <c r="D276" i="22"/>
  <c r="D275" i="22"/>
  <c r="D272" i="22"/>
  <c r="D271" i="22"/>
  <c r="D268" i="22"/>
  <c r="D267" i="22"/>
  <c r="D243" i="22"/>
  <c r="D242" i="22"/>
  <c r="D235" i="22"/>
  <c r="D234" i="22"/>
  <c r="D205" i="22"/>
  <c r="D201" i="22"/>
  <c r="D197" i="22"/>
  <c r="D193" i="22"/>
  <c r="D159" i="22"/>
  <c r="D158" i="22"/>
  <c r="D166" i="22"/>
  <c r="D165" i="22"/>
  <c r="D128" i="22"/>
  <c r="D127" i="22"/>
  <c r="D117" i="22"/>
  <c r="D116" i="22"/>
  <c r="D129" i="22"/>
  <c r="D124" i="22"/>
  <c r="D123" i="22"/>
  <c r="D87" i="22"/>
  <c r="D86" i="22"/>
  <c r="D79" i="22"/>
  <c r="D78" i="22"/>
  <c r="D52" i="22"/>
  <c r="D51" i="22"/>
  <c r="D48" i="22"/>
  <c r="D47" i="22"/>
  <c r="D44" i="22"/>
  <c r="D43" i="22"/>
  <c r="D729" i="14"/>
  <c r="D728" i="14"/>
  <c r="E704" i="14"/>
  <c r="D737" i="14"/>
  <c r="D732" i="14"/>
  <c r="D725" i="14"/>
  <c r="D724" i="14"/>
  <c r="D699" i="14"/>
  <c r="D698" i="14"/>
  <c r="D697" i="14"/>
  <c r="D694" i="14"/>
  <c r="D693" i="14"/>
  <c r="D690" i="14"/>
  <c r="D689" i="14"/>
  <c r="D660" i="14"/>
  <c r="D652" i="14"/>
  <c r="D659" i="14"/>
  <c r="D656" i="14"/>
  <c r="D655" i="14"/>
  <c r="D651" i="14"/>
  <c r="D648" i="14"/>
  <c r="D647" i="14"/>
  <c r="D661" i="14"/>
  <c r="D657" i="14"/>
  <c r="D653" i="14"/>
  <c r="D649" i="14"/>
  <c r="D623" i="14"/>
  <c r="D622" i="14"/>
  <c r="D615" i="14"/>
  <c r="D614" i="14"/>
  <c r="D585" i="14"/>
  <c r="D581" i="14"/>
  <c r="D577" i="14"/>
  <c r="D573" i="14"/>
  <c r="D547" i="14"/>
  <c r="D546" i="14"/>
  <c r="D539" i="14"/>
  <c r="D538" i="14"/>
  <c r="D508" i="14"/>
  <c r="D507" i="14"/>
  <c r="D504" i="14"/>
  <c r="D503" i="14"/>
  <c r="D500" i="14"/>
  <c r="D499" i="14"/>
  <c r="D496" i="14"/>
  <c r="D495" i="14"/>
  <c r="D471" i="14"/>
  <c r="D470" i="14"/>
  <c r="D463" i="14"/>
  <c r="D462" i="14"/>
  <c r="D467" i="14"/>
  <c r="D466" i="14"/>
  <c r="D459" i="14"/>
  <c r="D458" i="14"/>
  <c r="D433" i="14"/>
  <c r="D429" i="14"/>
  <c r="D425" i="14"/>
  <c r="D421" i="14"/>
  <c r="D395" i="14"/>
  <c r="D390" i="14"/>
  <c r="D389" i="14"/>
  <c r="D387" i="14"/>
  <c r="D386" i="14"/>
  <c r="D356" i="14"/>
  <c r="D355" i="14"/>
  <c r="D352" i="14"/>
  <c r="D351" i="14"/>
  <c r="D348" i="14"/>
  <c r="D347" i="14"/>
  <c r="D344" i="14"/>
  <c r="D343" i="14"/>
  <c r="D318" i="14"/>
  <c r="D317" i="14"/>
  <c r="D314" i="14"/>
  <c r="D313" i="14"/>
  <c r="D310" i="14"/>
  <c r="D309" i="14"/>
  <c r="D306" i="14"/>
  <c r="D305" i="14"/>
  <c r="D281" i="14"/>
  <c r="D280" i="14"/>
  <c r="D273" i="14"/>
  <c r="D272" i="14"/>
  <c r="D277" i="14"/>
  <c r="D276" i="14"/>
  <c r="D269" i="14"/>
  <c r="D268" i="14"/>
  <c r="D242" i="14"/>
  <c r="D241" i="14"/>
  <c r="D238" i="14"/>
  <c r="D237" i="14"/>
  <c r="D230" i="14"/>
  <c r="D205" i="14"/>
  <c r="D204" i="14"/>
  <c r="D197" i="14"/>
  <c r="D196" i="14"/>
  <c r="D166" i="14"/>
  <c r="D162" i="14"/>
  <c r="D158" i="14"/>
  <c r="D154" i="14"/>
  <c r="D129" i="14"/>
  <c r="D125" i="14"/>
  <c r="D121" i="14"/>
  <c r="D117" i="14"/>
  <c r="D90" i="14"/>
  <c r="D89" i="14"/>
  <c r="D86" i="14"/>
  <c r="D85" i="14"/>
  <c r="D82" i="14"/>
  <c r="D81" i="14"/>
  <c r="D78" i="14"/>
  <c r="D77" i="14"/>
  <c r="D52" i="14"/>
  <c r="D51" i="14"/>
  <c r="D48" i="14"/>
  <c r="D47" i="14"/>
  <c r="D44" i="14"/>
  <c r="D43" i="14"/>
  <c r="D40" i="14"/>
  <c r="D39"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703" i="14"/>
  <c r="E171" i="15" l="1"/>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J35" i="9" a="1"/>
  <c r="BY24" i="9" a="1"/>
  <c r="CJ24" i="9" a="1"/>
  <c r="AP28" i="9" a="1"/>
  <c r="BE35" i="9" a="1"/>
  <c r="K248" i="14"/>
  <c r="BG31" i="9" a="1"/>
  <c r="BX34" i="9" a="1"/>
  <c r="CH28" i="9" a="1"/>
  <c r="CJ35" i="9" a="1"/>
  <c r="BP39" i="9" a="1"/>
  <c r="AI32" i="9" a="1"/>
  <c r="AR24" i="9" a="1"/>
  <c r="AC39" i="9" a="1"/>
  <c r="AP31" i="9" a="1"/>
  <c r="BA22" i="9" a="1"/>
  <c r="AM32" i="9" a="1"/>
  <c r="AI35" i="9" a="1"/>
  <c r="CI35" i="9" a="1"/>
  <c r="CO34" i="9" a="1"/>
  <c r="S23" i="9" a="1"/>
  <c r="AT21" i="9" a="1"/>
  <c r="Z24" i="9" a="1"/>
  <c r="BM22" i="9" a="1"/>
  <c r="U23" i="9" a="1"/>
  <c r="AM38" i="9" a="1"/>
  <c r="BI39" i="9" a="1"/>
  <c r="I23" i="9" a="1"/>
  <c r="BW20" i="9" a="1"/>
  <c r="CG28" i="9" a="1"/>
  <c r="CQ29" i="9" a="1"/>
  <c r="BD23" i="9" a="1"/>
  <c r="AB28" i="9" a="1"/>
  <c r="H37" i="9" a="1"/>
  <c r="AX24" i="9" a="1"/>
  <c r="AY23" i="9" a="1"/>
  <c r="BL24" i="9" a="1"/>
  <c r="CQ33" i="9" a="1"/>
  <c r="Z32" i="9" a="1"/>
  <c r="BV26" i="9" a="1"/>
  <c r="AR37" i="9" a="1"/>
  <c r="BI28" i="9" a="1"/>
  <c r="U22" i="9" a="1"/>
  <c r="BB28" i="9" a="1"/>
  <c r="H39" i="9" a="1"/>
  <c r="BI24" i="9" a="1"/>
  <c r="AI36" i="9" a="1"/>
  <c r="AL31" i="9" a="1"/>
  <c r="O23" i="9" a="1"/>
  <c r="CB31" i="9" a="1"/>
  <c r="T36" i="9" a="1"/>
  <c r="AF27" i="9" a="1"/>
  <c r="CO26" i="9" a="1"/>
  <c r="AC33" i="9" a="1"/>
  <c r="AJ28" i="9" a="1"/>
  <c r="O26" i="9" a="1"/>
  <c r="BG21" i="9" a="1"/>
  <c r="BH36" i="9" a="1"/>
  <c r="F26" i="9" a="1"/>
  <c r="X22" i="9" a="1"/>
  <c r="AW39" i="9" a="1"/>
  <c r="AM23" i="9" a="1"/>
  <c r="AV24" i="9" a="1"/>
  <c r="BN28" i="9" a="1"/>
  <c r="P23" i="9" a="1"/>
  <c r="BX29" i="9" a="1"/>
  <c r="AQ21" i="9" a="1"/>
  <c r="CM37" i="9" a="1"/>
  <c r="AR27" i="9" a="1"/>
  <c r="BO25" i="9" a="1"/>
  <c r="M32" i="9" a="1"/>
  <c r="AP25" i="9" a="1"/>
  <c r="AC32" i="9" a="1"/>
  <c r="Z36" i="9" a="1"/>
  <c r="CH31" i="9" a="1"/>
  <c r="CH32" i="9" a="1"/>
  <c r="AO31" i="9" a="1"/>
  <c r="V36" i="9" a="1"/>
  <c r="CQ20" i="9" a="1"/>
  <c r="BS24" i="9" a="1"/>
  <c r="CF24" i="9" a="1"/>
  <c r="L23" i="9" a="1"/>
  <c r="BE28" i="9" a="1"/>
  <c r="BO36" i="9" a="1"/>
  <c r="N21" i="9" a="1"/>
  <c r="BK31" i="9" a="1"/>
  <c r="T25" i="9" a="1"/>
  <c r="G32" i="9" a="1"/>
  <c r="BA31" i="9" a="1"/>
  <c r="M27" i="9" a="1"/>
  <c r="BI35" i="9" a="1"/>
  <c r="E24" i="9" a="1"/>
  <c r="AZ26" i="9" a="1"/>
  <c r="CO32" i="9" a="1"/>
  <c r="AZ23" i="9" a="1"/>
  <c r="N24" i="9" a="1"/>
  <c r="L33" i="9" a="1"/>
  <c r="AZ25" i="9" a="1"/>
  <c r="O30" i="9" a="1"/>
  <c r="BL25" i="9" a="1"/>
  <c r="Y26" i="9" a="1"/>
  <c r="CK22" i="9" a="1"/>
  <c r="BM34" i="9" a="1"/>
  <c r="K438" i="14"/>
  <c r="AP24" i="9" a="1"/>
  <c r="T24" i="9" a="1"/>
  <c r="BC27" i="9" a="1"/>
  <c r="CM29" i="9" a="1"/>
  <c r="BT36" i="9" a="1"/>
  <c r="CK26" i="9" a="1"/>
  <c r="J29" i="9" a="1"/>
  <c r="T31" i="9" a="1"/>
  <c r="CP22" i="9" a="1"/>
  <c r="CJ36" i="9" a="1"/>
  <c r="BH27" i="9" a="1"/>
  <c r="Y25" i="9" a="1"/>
  <c r="AT36" i="9" a="1"/>
  <c r="AK27" i="9" a="1"/>
  <c r="CE26" i="9" a="1"/>
  <c r="BP26" i="9" a="1"/>
  <c r="AI39" i="9" a="1"/>
  <c r="I28" i="9" a="1"/>
  <c r="I38" i="9" a="1"/>
  <c r="U24" i="9" a="1"/>
  <c r="Z38" i="9" a="1"/>
  <c r="AL33" i="9" a="1"/>
  <c r="BV23" i="9" a="1"/>
  <c r="BW33" i="9" a="1"/>
  <c r="BO39" i="9" a="1"/>
  <c r="R39" i="9" a="1"/>
  <c r="BH22" i="9" a="1"/>
  <c r="AG26" i="9" a="1"/>
  <c r="S38" i="9" a="1"/>
  <c r="AA22" i="9" a="1"/>
  <c r="AP37" i="9" a="1"/>
  <c r="CN27" i="9" a="1"/>
  <c r="BM35" i="9" a="1"/>
  <c r="CE22" i="9" a="1"/>
  <c r="G25" i="9" a="1"/>
  <c r="AM36" i="9" a="1"/>
  <c r="X27" i="9" a="1"/>
  <c r="AQ23" i="9" a="1"/>
  <c r="BV34" i="9" a="1"/>
  <c r="BA28" i="9" a="1"/>
  <c r="K39" i="9" a="1"/>
  <c r="L27" i="9" a="1"/>
  <c r="BQ29" i="9" a="1"/>
  <c r="AO24" i="9" a="1"/>
  <c r="BD31" i="9" a="1"/>
  <c r="BX37" i="9" a="1"/>
  <c r="BQ20" i="9" a="1"/>
  <c r="BP28" i="9" a="1"/>
  <c r="H28" i="9" a="1"/>
  <c r="BR27" i="9" a="1"/>
  <c r="AR28" i="9" a="1"/>
  <c r="BW27" i="9" a="1"/>
  <c r="BO24" i="9" a="1"/>
  <c r="M20" i="9" a="1"/>
  <c r="AW37" i="9" a="1"/>
  <c r="BF31" i="9" a="1"/>
  <c r="V20" i="9" a="1"/>
  <c r="J22" i="9" a="1"/>
  <c r="AQ38" i="9" a="1"/>
  <c r="E36" i="9" a="1"/>
  <c r="AP35" i="9" a="1"/>
  <c r="AX23" i="9" a="1"/>
  <c r="G30" i="9" a="1"/>
  <c r="CA39" i="9" a="1"/>
  <c r="BV27" i="9" a="1"/>
  <c r="R22" i="9" a="1"/>
  <c r="CN32" i="9" a="1"/>
  <c r="CG36" i="9" a="1"/>
  <c r="BJ39" i="9" a="1"/>
  <c r="AD22" i="9" a="1"/>
  <c r="R32" i="9" a="1"/>
  <c r="BV35" i="9" a="1"/>
  <c r="AD29" i="9" a="1"/>
  <c r="CJ22" i="9" a="1"/>
  <c r="P29" i="9" a="1"/>
  <c r="R30" i="9" a="1"/>
  <c r="CE21" i="9" a="1"/>
  <c r="AF32" i="9" a="1"/>
  <c r="AW38" i="9" a="1"/>
  <c r="CJ30" i="9" a="1"/>
  <c r="AD31" i="9" a="1"/>
  <c r="O25" i="9" a="1"/>
  <c r="AB23" i="9" a="1"/>
  <c r="F28" i="9" a="1"/>
  <c r="Y30" i="9" a="1"/>
  <c r="AJ37" i="9" a="1"/>
  <c r="BZ33" i="9" a="1"/>
  <c r="CE20" i="9" a="1"/>
  <c r="Y24" i="9" a="1"/>
  <c r="CL23" i="9" a="1"/>
  <c r="BY34" i="9" a="1"/>
  <c r="AU35" i="9" a="1"/>
  <c r="K22" i="9" a="1"/>
  <c r="K134" i="15"/>
  <c r="I36" i="9" a="1"/>
  <c r="M24" i="9" a="1"/>
  <c r="U33" i="9" a="1"/>
  <c r="BD37" i="9" a="1"/>
  <c r="CH30" i="9" a="1"/>
  <c r="J30" i="9" a="1"/>
  <c r="CI31" i="9" a="1"/>
  <c r="CC20" i="9" a="1"/>
  <c r="CB38" i="9" a="1"/>
  <c r="BF24" i="9" a="1"/>
  <c r="CR24" i="9" a="1"/>
  <c r="AW31" i="9" a="1"/>
  <c r="V23" i="9" a="1"/>
  <c r="BH24" i="9" a="1"/>
  <c r="BV24" i="9" a="1"/>
  <c r="G28" i="9" a="1"/>
  <c r="AE26" i="9" a="1"/>
  <c r="U27" i="9" a="1"/>
  <c r="AT31" i="9" a="1"/>
  <c r="BI33" i="9" a="1"/>
  <c r="N26" i="9" a="1"/>
  <c r="E34" i="9" a="1"/>
  <c r="AS38" i="9" a="1"/>
  <c r="AK25" i="9" a="1"/>
  <c r="CE23" i="9" a="1"/>
  <c r="N35" i="9" a="1"/>
  <c r="AI27" i="9" a="1"/>
  <c r="BZ34" i="9" a="1"/>
  <c r="BD27" i="9" a="1"/>
  <c r="BM27" i="9" a="1"/>
  <c r="BZ30" i="9" a="1"/>
  <c r="AB26" i="9" a="1"/>
  <c r="CQ26" i="9" a="1"/>
  <c r="BY30" i="9" a="1"/>
  <c r="H29" i="9" a="1"/>
  <c r="J27" i="9" a="1"/>
  <c r="AC30" i="9" a="1"/>
  <c r="AV23" i="9" a="1"/>
  <c r="BQ22" i="9" a="1"/>
  <c r="E28" i="9" a="1"/>
  <c r="AC31" i="9" a="1"/>
  <c r="CI28" i="9" a="1"/>
  <c r="K1198" i="22"/>
  <c r="BK34" i="9" a="1"/>
  <c r="AV30" i="9" a="1"/>
  <c r="AB22" i="9" a="1"/>
  <c r="V37" i="9" a="1"/>
  <c r="Y36" i="9" a="1"/>
  <c r="J36" i="9" a="1"/>
  <c r="BW39" i="9" a="1"/>
  <c r="BI30" i="9" a="1"/>
  <c r="BR36" i="9" a="1"/>
  <c r="K818" i="22"/>
  <c r="AO32" i="9" a="1"/>
  <c r="Z34" i="9" a="1"/>
  <c r="BB32" i="9" a="1"/>
  <c r="AY37" i="9" a="1"/>
  <c r="W24" i="9" a="1"/>
  <c r="CG25" i="9" a="1"/>
  <c r="CK35" i="9" a="1"/>
  <c r="CA35" i="9" a="1"/>
  <c r="AB32" i="9" a="1"/>
  <c r="H22" i="9" a="1"/>
  <c r="AM31" i="9" a="1"/>
  <c r="AN33" i="9" a="1"/>
  <c r="BR23" i="9" a="1"/>
  <c r="BR25" i="9" a="1"/>
  <c r="R27" i="9" a="1"/>
  <c r="BS38" i="9" a="1"/>
  <c r="V27" i="9" a="1"/>
  <c r="BU22" i="9" a="1"/>
  <c r="T29" i="9" a="1"/>
  <c r="M35" i="9" a="1"/>
  <c r="AM24" i="9" a="1"/>
  <c r="K552" i="22"/>
  <c r="CQ39" i="9" a="1"/>
  <c r="AC26" i="9" a="1"/>
  <c r="K1312" i="22"/>
  <c r="BC23" i="9" a="1"/>
  <c r="BE37" i="9" a="1"/>
  <c r="BN34" i="9" a="1"/>
  <c r="BH20" i="9" a="1"/>
  <c r="BX28" i="9" a="1"/>
  <c r="BC26" i="9" a="1"/>
  <c r="CD39" i="9" a="1"/>
  <c r="CF21" i="9" a="1"/>
  <c r="AH29" i="9" a="1"/>
  <c r="BT31" i="9" a="1"/>
  <c r="BC31" i="9" a="1"/>
  <c r="N22" i="9" a="1"/>
  <c r="AQ29" i="9" a="1"/>
  <c r="CK33" i="9" a="1"/>
  <c r="BD34" i="9" a="1"/>
  <c r="G31" i="9" a="1"/>
  <c r="U35" i="9" a="1"/>
  <c r="CF31" i="9" a="1"/>
  <c r="AU24" i="9" a="1"/>
  <c r="N38" i="9" a="1"/>
  <c r="CB34" i="9" a="1"/>
  <c r="CI32" i="9" a="1"/>
  <c r="CR31" i="9" a="1"/>
  <c r="CF32" i="9" a="1"/>
  <c r="J37" i="9" a="1"/>
  <c r="O21" i="9" a="1"/>
  <c r="BO20" i="9" a="1"/>
  <c r="G38" i="9" a="1"/>
  <c r="W32" i="9" a="1"/>
  <c r="AA24" i="9" a="1"/>
  <c r="BC25" i="9" a="1"/>
  <c r="AZ24" i="9" a="1"/>
  <c r="BQ36" i="9" a="1"/>
  <c r="AZ34" i="9" a="1"/>
  <c r="BW32" i="9" a="1"/>
  <c r="BT23" i="9" a="1"/>
  <c r="AL34" i="9" a="1"/>
  <c r="CR33" i="9" a="1"/>
  <c r="F38" i="9" a="1"/>
  <c r="V31" i="9" a="1"/>
  <c r="CC27" i="9" a="1"/>
  <c r="CL32" i="9" a="1"/>
  <c r="CP21" i="9" a="1"/>
  <c r="BL35" i="9" a="1"/>
  <c r="L28" i="9" a="1"/>
  <c r="O35" i="9" a="1"/>
  <c r="AC38" i="9" a="1"/>
  <c r="AE25" i="9" a="1"/>
  <c r="AA35" i="9" a="1"/>
  <c r="AR22" i="9" a="1"/>
  <c r="CQ31" i="9" a="1"/>
  <c r="K248" i="15"/>
  <c r="CN35" i="9" a="1"/>
  <c r="AX25" i="9" a="1"/>
  <c r="K32" i="9" a="1"/>
  <c r="BU38" i="9" a="1"/>
  <c r="S32" i="9" a="1"/>
  <c r="AS36" i="9" a="1"/>
  <c r="Y37" i="9" a="1"/>
  <c r="AX35" i="9" a="1"/>
  <c r="BU39" i="9" a="1"/>
  <c r="AN26" i="9" a="1"/>
  <c r="P30" i="9" a="1"/>
  <c r="V26" i="9" a="1"/>
  <c r="CQ28" i="9" a="1"/>
  <c r="P34" i="9" a="1"/>
  <c r="BP24" i="9" a="1"/>
  <c r="BG30" i="9" a="1"/>
  <c r="BD22" i="9" a="1"/>
  <c r="BX36" i="9" a="1"/>
  <c r="AL26" i="9" a="1"/>
  <c r="AV32" i="9" a="1"/>
  <c r="I32" i="9" a="1"/>
  <c r="CP32" i="9" a="1"/>
  <c r="BO33" i="9" a="1"/>
  <c r="P27" i="9" a="1"/>
  <c r="BX25" i="9" a="1"/>
  <c r="CG29" i="9" a="1"/>
  <c r="K58" i="18"/>
  <c r="AV28" i="9" a="1"/>
  <c r="AJ36" i="9" a="1"/>
  <c r="AX28" i="9" a="1"/>
  <c r="CJ23" i="9" a="1"/>
  <c r="BT20" i="9" a="1"/>
  <c r="AC22" i="9" a="1"/>
  <c r="AJ22" i="9" a="1"/>
  <c r="CM33" i="9" a="1"/>
  <c r="AE35" i="9" a="1"/>
  <c r="BD38" i="9" a="1"/>
  <c r="K28" i="9" a="1"/>
  <c r="AH33" i="9" a="1"/>
  <c r="AB39" i="9" a="1"/>
  <c r="CB28" i="9" a="1"/>
  <c r="T35" i="9" a="1"/>
  <c r="Y33" i="9" a="1"/>
  <c r="BY31" i="9" a="1"/>
  <c r="BR31" i="9" a="1"/>
  <c r="BY35" i="9" a="1"/>
  <c r="BW37" i="9" a="1"/>
  <c r="BI32" i="9" a="1"/>
  <c r="AZ27" i="9" a="1"/>
  <c r="BY36" i="9" a="1"/>
  <c r="BR32" i="9" a="1"/>
  <c r="AJ31" i="9" a="1"/>
  <c r="CA23" i="9" a="1"/>
  <c r="BO31" i="9" a="1"/>
  <c r="V35" i="9" a="1"/>
  <c r="K58" i="15"/>
  <c r="BA38" i="9" a="1"/>
  <c r="CH27" i="9" a="1"/>
  <c r="AW34" i="9" a="1"/>
  <c r="K96" i="22"/>
  <c r="AD23" i="9" a="1"/>
  <c r="CO20" i="9" a="1"/>
  <c r="BT24" i="9" a="1"/>
  <c r="CR34" i="9" a="1"/>
  <c r="BJ20" i="9" a="1"/>
  <c r="BN31" i="9" a="1"/>
  <c r="AG24" i="9" a="1"/>
  <c r="BL31" i="9" a="1"/>
  <c r="CR20" i="9" a="1"/>
  <c r="BK33" i="9" a="1"/>
  <c r="CE31" i="9" a="1"/>
  <c r="V25" i="9" a="1"/>
  <c r="AX38" i="9" a="1"/>
  <c r="CF36" i="9" a="1"/>
  <c r="BW26" i="9" a="1"/>
  <c r="BA32" i="9" a="1"/>
  <c r="BJ26" i="9" a="1"/>
  <c r="CL24" i="9" a="1"/>
  <c r="T23" i="9" a="1"/>
  <c r="CI37" i="9" a="1"/>
  <c r="AD39" i="9" a="1"/>
  <c r="CN33" i="9" a="1"/>
  <c r="AY22" i="9" a="1"/>
  <c r="AD30" i="9" a="1"/>
  <c r="AC34" i="9" a="1"/>
  <c r="CM36" i="9" a="1"/>
  <c r="F27" i="9" a="1"/>
  <c r="AK39" i="9" a="1"/>
  <c r="BK27" i="9" a="1"/>
  <c r="AX31" i="9" a="1"/>
  <c r="E30" i="9" a="1"/>
  <c r="CQ30" i="9" a="1"/>
  <c r="CK32" i="9" a="1"/>
  <c r="AL36" i="9" a="1"/>
  <c r="H32" i="9" a="1"/>
  <c r="CH39" i="9" a="1"/>
  <c r="AM35" i="9" a="1"/>
  <c r="BK25" i="9" a="1"/>
  <c r="AJ39" i="9" a="1"/>
  <c r="F22" i="9" a="1"/>
  <c r="BZ37" i="9" a="1"/>
  <c r="CR25" i="9" a="1"/>
  <c r="AP23" i="9" a="1"/>
  <c r="CF29" i="9" a="1"/>
  <c r="X29" i="9" a="1"/>
  <c r="H35" i="9" a="1"/>
  <c r="AO25" i="9" a="1"/>
  <c r="S24" i="9" a="1"/>
  <c r="AU32" i="9" a="1"/>
  <c r="Q35" i="9" a="1"/>
  <c r="CP24" i="9" a="1"/>
  <c r="L31" i="9" a="1"/>
  <c r="K96" i="14"/>
  <c r="S35" i="9" a="1"/>
  <c r="BD33" i="9" a="1"/>
  <c r="BL29" i="9" a="1"/>
  <c r="CN25" i="9" a="1"/>
  <c r="R35" i="9" a="1"/>
  <c r="AG22" i="9" a="1"/>
  <c r="P31" i="9" a="1"/>
  <c r="CO22" i="9" a="1"/>
  <c r="CK36" i="9" a="1"/>
  <c r="AH35" i="9" a="1"/>
  <c r="BI26" i="9" a="1"/>
  <c r="L20" i="9" a="1"/>
  <c r="AU29" i="9" a="1"/>
  <c r="AH28" i="9" a="1"/>
  <c r="BI36" i="9" a="1"/>
  <c r="BR26" i="9" a="1"/>
  <c r="AQ28" i="9" a="1"/>
  <c r="AK33" i="9" a="1"/>
  <c r="AZ29" i="9" a="1"/>
  <c r="BW30" i="9" a="1"/>
  <c r="N30" i="9" a="1"/>
  <c r="BL36" i="9" a="1"/>
  <c r="BL38" i="9" a="1"/>
  <c r="E22" i="9" a="1"/>
  <c r="S36" i="9" a="1"/>
  <c r="I22" i="9" a="1"/>
  <c r="BF23" i="9" a="1"/>
  <c r="AA29" i="9" a="1"/>
  <c r="AE31" i="9" a="1"/>
  <c r="CR27" i="9" a="1"/>
  <c r="CN23" i="9" a="1"/>
  <c r="BZ28" i="9" a="1"/>
  <c r="AU37" i="9" a="1"/>
  <c r="J33" i="9" a="1"/>
  <c r="CD22" i="9" a="1"/>
  <c r="CN39" i="9" a="1"/>
  <c r="E32" i="9" a="1"/>
  <c r="BE23" i="9" a="1"/>
  <c r="N39" i="9" a="1"/>
  <c r="BR39" i="9" a="1"/>
  <c r="K20" i="13"/>
  <c r="BG34" i="9" a="1"/>
  <c r="CE28" i="9" a="1"/>
  <c r="AJ24" i="9" a="1"/>
  <c r="BS28" i="9" a="1"/>
  <c r="CN20" i="9" a="1"/>
  <c r="CG37" i="9" a="1"/>
  <c r="BP36" i="9" a="1"/>
  <c r="BG28" i="9" a="1"/>
  <c r="W34" i="9" a="1"/>
  <c r="AF35" i="9" a="1"/>
  <c r="CC31" i="9" a="1"/>
  <c r="R26" i="9" a="1"/>
  <c r="CN29" i="9" a="1"/>
  <c r="F20" i="9" a="1"/>
  <c r="BB33" i="9" a="1"/>
  <c r="K35" i="9" a="1"/>
  <c r="AQ24" i="9" a="1"/>
  <c r="BM23" i="9" a="1"/>
  <c r="CP31" i="9" a="1"/>
  <c r="BZ23" i="9" a="1"/>
  <c r="K96" i="5"/>
  <c r="AV20" i="9" a="1"/>
  <c r="BR33" i="9" a="1"/>
  <c r="N28" i="9" a="1"/>
  <c r="AN35" i="9" a="1"/>
  <c r="AS39" i="9" a="1"/>
  <c r="AY33" i="9" a="1"/>
  <c r="CJ32" i="9" a="1"/>
  <c r="AG28" i="9" a="1"/>
  <c r="CD38" i="9" a="1"/>
  <c r="CM31" i="9" a="1"/>
  <c r="BY29" i="9" a="1"/>
  <c r="CF26" i="9" a="1"/>
  <c r="AY39" i="9" a="1"/>
  <c r="CM22" i="9" a="1"/>
  <c r="CQ23" i="9" a="1"/>
  <c r="N20" i="9" a="1"/>
  <c r="CF33" i="9" a="1"/>
  <c r="BS30" i="9" a="1"/>
  <c r="L35" i="9" a="1"/>
  <c r="K20" i="18"/>
  <c r="CH36" i="9" a="1"/>
  <c r="BS22" i="9" a="1"/>
  <c r="Q25" i="9" a="1"/>
  <c r="N25" i="9" a="1"/>
  <c r="U25" i="9" a="1"/>
  <c r="CH38" i="9" a="1"/>
  <c r="AZ35" i="9" a="1"/>
  <c r="AW25" i="9" a="1"/>
  <c r="R38" i="9" a="1"/>
  <c r="BU36" i="9" a="1"/>
  <c r="BY27" i="9" a="1"/>
  <c r="BX24" i="9" a="1"/>
  <c r="CQ22" i="9" a="1"/>
  <c r="AY29" i="9" a="1"/>
  <c r="CG24" i="9" a="1"/>
  <c r="AJ27" i="9" a="1"/>
  <c r="BC29" i="9" a="1"/>
  <c r="F33" i="9" a="1"/>
  <c r="BO27" i="9" a="1"/>
  <c r="CA32" i="9" a="1"/>
  <c r="BO30" i="9" a="1"/>
  <c r="Z31" i="9" a="1"/>
  <c r="M31" i="9" a="1"/>
  <c r="U31" i="9" a="1"/>
  <c r="BJ23" i="9" a="1"/>
  <c r="AR25" i="9" a="1"/>
  <c r="BC35" i="9" a="1"/>
  <c r="T32" i="9" a="1"/>
  <c r="H38" i="9" a="1"/>
  <c r="CA31" i="9" a="1"/>
  <c r="AE32" i="9" a="1"/>
  <c r="CK37" i="9" a="1"/>
  <c r="AM39" i="9" a="1"/>
  <c r="AD28" i="9" a="1"/>
  <c r="AF20" i="9" a="1"/>
  <c r="AS35" i="9" a="1"/>
  <c r="BE25" i="9" a="1"/>
  <c r="BJ29" i="9" a="1"/>
  <c r="CM35" i="9" a="1"/>
  <c r="CJ25" i="9" a="1"/>
  <c r="BG24" i="9" a="1"/>
  <c r="X28" i="9" a="1"/>
  <c r="AI38" i="9" a="1"/>
  <c r="CJ27" i="9" a="1"/>
  <c r="K20" i="22"/>
  <c r="AI28" i="9" a="1"/>
  <c r="N34" i="9" a="1"/>
  <c r="AS20" i="9" a="1"/>
  <c r="L36" i="9" a="1"/>
  <c r="BK39" i="9" a="1"/>
  <c r="CR39" i="9" a="1"/>
  <c r="BZ39" i="9" a="1"/>
  <c r="V22" i="9" a="1"/>
  <c r="BA33" i="9" a="1"/>
  <c r="BT28" i="9" a="1"/>
  <c r="G29" i="9" a="1"/>
  <c r="BP21" i="9" a="1"/>
  <c r="CR21" i="9" a="1"/>
  <c r="H36" i="9" a="1"/>
  <c r="BQ24" i="9" a="1"/>
  <c r="K30" i="9" a="1"/>
  <c r="BE22" i="9" a="1"/>
  <c r="BS27" i="9" a="1"/>
  <c r="N32" i="9" a="1"/>
  <c r="BU33" i="9" a="1"/>
  <c r="CE35" i="9" a="1"/>
  <c r="AP30" i="9" a="1"/>
  <c r="CR23" i="9" a="1"/>
  <c r="CB21" i="9" a="1"/>
  <c r="M26" i="9" a="1"/>
  <c r="BF30" i="9" a="1"/>
  <c r="BJ30" i="9" a="1"/>
  <c r="CP29" i="9" a="1"/>
  <c r="AJ26" i="9" a="1"/>
  <c r="AO39" i="9" a="1"/>
  <c r="K96" i="13"/>
  <c r="AX36" i="9" a="1"/>
  <c r="AW20" i="9" a="1"/>
  <c r="AU34" i="9" a="1"/>
  <c r="CB33" i="9" a="1"/>
  <c r="CE29" i="9" a="1"/>
  <c r="CC39" i="9" a="1"/>
  <c r="K552" i="14"/>
  <c r="L32" i="9" a="1"/>
  <c r="CF22" i="9" a="1"/>
  <c r="AP39" i="9" a="1"/>
  <c r="BF27" i="9" a="1"/>
  <c r="CC33" i="9" a="1"/>
  <c r="BB23" i="9" a="1"/>
  <c r="AS26" i="9" a="1"/>
  <c r="W27" i="9" a="1"/>
  <c r="CE34" i="9" a="1"/>
  <c r="Z26" i="9" a="1"/>
  <c r="S21" i="9" a="1"/>
  <c r="BF34" i="9" a="1"/>
  <c r="K628" i="22"/>
  <c r="G20" i="9" a="1"/>
  <c r="CH21" i="9" a="1"/>
  <c r="AR39" i="9" a="1"/>
  <c r="H27" i="9" a="1"/>
  <c r="K324" i="22"/>
  <c r="AL25" i="9" a="1"/>
  <c r="P26" i="9" a="1"/>
  <c r="AN34" i="9" a="1"/>
  <c r="BV30" i="9" a="1"/>
  <c r="AM25" i="9" a="1"/>
  <c r="AP20" i="9" a="1"/>
  <c r="R36" i="9" a="1"/>
  <c r="BH33" i="9" a="1"/>
  <c r="AD35" i="9" a="1"/>
  <c r="AU36" i="9" a="1"/>
  <c r="CP27" i="9" a="1"/>
  <c r="L21" i="9" a="1"/>
  <c r="AZ28" i="9" a="1"/>
  <c r="BW28" i="9" a="1"/>
  <c r="J26" i="9" a="1"/>
  <c r="Y39" i="9" a="1"/>
  <c r="K25" i="9" a="1"/>
  <c r="BU30" i="9" a="1"/>
  <c r="BJ24" i="9" a="1"/>
  <c r="AM28" i="9" a="1"/>
  <c r="AI23" i="9" a="1"/>
  <c r="BD26" i="9" a="1"/>
  <c r="CO23" i="9" a="1"/>
  <c r="CG33" i="9" a="1"/>
  <c r="CJ26" i="9" a="1"/>
  <c r="AP22" i="9" a="1"/>
  <c r="Z35" i="9" a="1"/>
  <c r="CG31" i="9" a="1"/>
  <c r="BU29" i="9" a="1"/>
  <c r="U20" i="9" a="1"/>
  <c r="BX27" i="9" a="1"/>
  <c r="G39" i="9" a="1"/>
  <c r="CB32" i="9" a="1"/>
  <c r="BN27" i="9" a="1"/>
  <c r="AG27" i="9" a="1"/>
  <c r="BG36" i="9" a="1"/>
  <c r="AT32" i="9" a="1"/>
  <c r="BG26" i="9" a="1"/>
  <c r="BD29" i="9" a="1"/>
  <c r="CE39" i="9" a="1"/>
  <c r="K1578" i="22"/>
  <c r="BA23" i="9" a="1"/>
  <c r="AB31" i="9" a="1"/>
  <c r="CG32" i="9" a="1"/>
  <c r="AQ32" i="9" a="1"/>
  <c r="BI38" i="9" a="1"/>
  <c r="AQ20" i="9" a="1"/>
  <c r="AY27" i="9" a="1"/>
  <c r="K1806" i="22"/>
  <c r="V24" i="9" a="1"/>
  <c r="AY32" i="9" a="1"/>
  <c r="AX37" i="9" a="1"/>
  <c r="AH26" i="9" a="1"/>
  <c r="BT33" i="9" a="1"/>
  <c r="R37" i="9" a="1"/>
  <c r="AI37" i="9" a="1"/>
  <c r="BI23" i="9" a="1"/>
  <c r="BA30" i="9" a="1"/>
  <c r="AT25" i="9" a="1"/>
  <c r="K1616" i="22"/>
  <c r="BA20" i="9" a="1"/>
  <c r="AM37" i="9" a="1"/>
  <c r="AJ25" i="9" a="1"/>
  <c r="BM31" i="9" a="1"/>
  <c r="V32" i="9" a="1"/>
  <c r="W33" i="9" a="1"/>
  <c r="BF32" i="9" a="1"/>
  <c r="BL34" i="9" a="1"/>
  <c r="AQ36" i="9" a="1"/>
  <c r="BN29" i="9" a="1"/>
  <c r="BA39" i="9" a="1"/>
  <c r="BC39" i="9" a="1"/>
  <c r="Y35" i="9" a="1"/>
  <c r="AJ38" i="9" a="1"/>
  <c r="CB22" i="9" a="1"/>
  <c r="BT32" i="9" a="1"/>
  <c r="AN31" i="9" a="1"/>
  <c r="J28" i="9" a="1"/>
  <c r="Q23" i="9" a="1"/>
  <c r="BX22" i="9" a="1"/>
  <c r="CF38" i="9" a="1"/>
  <c r="I30" i="9" a="1"/>
  <c r="AR32" i="9" a="1"/>
  <c r="CP35" i="9" a="1"/>
  <c r="BR22" i="9" a="1"/>
  <c r="BY39" i="9" a="1"/>
  <c r="AY26" i="9" a="1"/>
  <c r="E25" i="9" a="1"/>
  <c r="BM32" i="9" a="1"/>
  <c r="K1844" i="22"/>
  <c r="CF37" i="9" a="1"/>
  <c r="AZ33" i="9" a="1"/>
  <c r="R20" i="9" a="1"/>
  <c r="BV38" i="9" a="1"/>
  <c r="AT37" i="9" a="1"/>
  <c r="BG25" i="9" a="1"/>
  <c r="E21" i="9" a="1"/>
  <c r="BN35" i="9" a="1"/>
  <c r="AA27" i="9" a="1"/>
  <c r="AN37" i="9" a="1"/>
  <c r="CA21" i="9" a="1"/>
  <c r="AO30" i="9" a="1"/>
  <c r="R24" i="9" a="1"/>
  <c r="CL21" i="9" a="1"/>
  <c r="BR34" i="9" a="1"/>
  <c r="AD36" i="9" a="1"/>
  <c r="O27" i="9" a="1"/>
  <c r="I31" i="9" a="1"/>
  <c r="M33" i="9" a="1"/>
  <c r="J39" i="9" a="1"/>
  <c r="AL35" i="9" a="1"/>
  <c r="U38" i="9" a="1"/>
  <c r="AL28" i="9" a="1"/>
  <c r="K666" i="22"/>
  <c r="BG32" i="9" a="1"/>
  <c r="BE29" i="9" a="1"/>
  <c r="N37" i="9" a="1"/>
  <c r="AQ30" i="9" a="1"/>
  <c r="BN39" i="9" a="1"/>
  <c r="CB27" i="9" a="1"/>
  <c r="CP36" i="9" a="1"/>
  <c r="AJ30" i="9" a="1"/>
  <c r="BS29" i="9" a="1"/>
  <c r="AB33" i="9" a="1"/>
  <c r="BQ39" i="9" a="1"/>
  <c r="I27" i="9" a="1"/>
  <c r="CN36" i="9" a="1"/>
  <c r="AN27" i="9" a="1"/>
  <c r="CO28" i="9" a="1"/>
  <c r="BO37" i="9" a="1"/>
  <c r="W28" i="9" a="1"/>
  <c r="BC33" i="9" a="1"/>
  <c r="AA31" i="9" a="1"/>
  <c r="CC32" i="9" a="1"/>
  <c r="CQ36" i="9" a="1"/>
  <c r="BH29" i="9" a="1"/>
  <c r="BB35" i="9" a="1"/>
  <c r="BB36" i="9" a="1"/>
  <c r="K172" i="14"/>
  <c r="CC30" i="9" a="1"/>
  <c r="BQ28" i="9" a="1"/>
  <c r="CH35" i="9" a="1"/>
  <c r="K1692" i="22"/>
  <c r="X25" i="9" a="1"/>
  <c r="BK37" i="9" a="1"/>
  <c r="K514" i="22"/>
  <c r="F35" i="9" a="1"/>
  <c r="K26" i="9" a="1"/>
  <c r="G36" i="9" a="1"/>
  <c r="K134" i="5"/>
  <c r="AW35" i="9" a="1"/>
  <c r="L26" i="9" a="1"/>
  <c r="AF31" i="9" a="1"/>
  <c r="Y27" i="9" a="1"/>
  <c r="BV25" i="9" a="1"/>
  <c r="AS37" i="9" a="1"/>
  <c r="AK38" i="9" a="1"/>
  <c r="BS23" i="9" a="1"/>
  <c r="AA39" i="9" a="1"/>
  <c r="AC27" i="9" a="1"/>
  <c r="N27" i="9" a="1"/>
  <c r="BL39" i="9" a="1"/>
  <c r="AV38" i="9" a="1"/>
  <c r="BN38" i="9" a="1"/>
  <c r="AT39" i="9" a="1"/>
  <c r="J21" i="9" a="1"/>
  <c r="T38" i="9" a="1"/>
  <c r="BT39" i="9" a="1"/>
  <c r="AE34" i="9" a="1"/>
  <c r="BQ33" i="9" a="1"/>
  <c r="F29" i="9" a="1"/>
  <c r="AU25" i="9" a="1"/>
  <c r="BX39" i="9" a="1"/>
  <c r="BV36" i="9" a="1"/>
  <c r="CE38" i="9" a="1"/>
  <c r="BS37" i="9" a="1"/>
  <c r="AN36" i="9" a="1"/>
  <c r="CA34" i="9" a="1"/>
  <c r="BB31" i="9" a="1"/>
  <c r="BM29" i="9" a="1"/>
  <c r="CC25" i="9" a="1"/>
  <c r="BE31" i="9" a="1"/>
  <c r="BW29" i="9" a="1"/>
  <c r="J25" i="9" a="1"/>
  <c r="BQ32" i="9" a="1"/>
  <c r="AK26" i="9" a="1"/>
  <c r="AL39" i="9" a="1"/>
  <c r="E38" i="9" a="1"/>
  <c r="BR30" i="9" a="1"/>
  <c r="CP23" i="9" a="1"/>
  <c r="V21" i="9" a="1"/>
  <c r="AS24" i="9" a="1"/>
  <c r="P20" i="9" a="1"/>
  <c r="O36" i="9" a="1"/>
  <c r="CC22" i="9" a="1"/>
  <c r="CD31" i="9" a="1"/>
  <c r="BV31" i="9" a="1"/>
  <c r="BE30" i="9" a="1"/>
  <c r="BP25" i="9" a="1"/>
  <c r="BB38" i="9" a="1"/>
  <c r="CE24" i="9" a="1"/>
  <c r="AO29" i="9" a="1"/>
  <c r="BT38" i="9" a="1"/>
  <c r="BK32" i="9" a="1"/>
  <c r="AK21" i="9" a="1"/>
  <c r="BN20" i="9" a="1"/>
  <c r="L39" i="9" a="1"/>
  <c r="AY20" i="9" a="1"/>
  <c r="CC24" i="9" a="1"/>
  <c r="BL26" i="9" a="1"/>
  <c r="BE39" i="9" a="1"/>
  <c r="CC28" i="9" a="1"/>
  <c r="BU35" i="9" a="1"/>
  <c r="P21" i="9" a="1"/>
  <c r="BU23" i="9" a="1"/>
  <c r="BS35" i="9" a="1"/>
  <c r="AR20" i="9" a="1"/>
  <c r="CG35" i="9" a="1"/>
  <c r="K1388" i="22"/>
  <c r="AH39" i="9" a="1"/>
  <c r="CO39" i="9" a="1"/>
  <c r="CN37" i="9" a="1"/>
  <c r="AA30" i="9" a="1"/>
  <c r="AR26" i="9" a="1"/>
  <c r="CC21" i="9" a="1"/>
  <c r="BR38" i="9" a="1"/>
  <c r="AF34" i="9" a="1"/>
  <c r="BN26" i="9" a="1"/>
  <c r="CD35" i="9" a="1"/>
  <c r="BB30" i="9" a="1"/>
  <c r="BX26" i="9" a="1"/>
  <c r="AG34" i="9" a="1"/>
  <c r="AG32" i="9" a="1"/>
  <c r="BO26" i="9" a="1"/>
  <c r="BS39" i="9" a="1"/>
  <c r="BJ34" i="9" a="1"/>
  <c r="P36" i="9" a="1"/>
  <c r="H24" i="9" a="1"/>
  <c r="S25" i="9" a="1"/>
  <c r="K1008" i="22"/>
  <c r="AA33" i="9" a="1"/>
  <c r="BI31" i="9" a="1"/>
  <c r="CB26" i="9" a="1"/>
  <c r="BP20" i="9" a="1"/>
  <c r="CJ31" i="9" a="1"/>
  <c r="U29" i="9" a="1"/>
  <c r="BB20" i="9" a="1"/>
  <c r="AT27" i="9" a="1"/>
  <c r="BB34" i="9" a="1"/>
  <c r="I37" i="9" a="1"/>
  <c r="CL36" i="9" a="1"/>
  <c r="BW35" i="9" a="1"/>
  <c r="CK28" i="9" a="1"/>
  <c r="AU22" i="9" a="1"/>
  <c r="AA38" i="9" a="1"/>
  <c r="X37" i="9" a="1"/>
  <c r="AV27" i="9" a="1"/>
  <c r="R28" i="9" a="1"/>
  <c r="AB27" i="9" a="1"/>
  <c r="BD36" i="9" a="1"/>
  <c r="M38" i="9" a="1"/>
  <c r="AU26" i="9" a="1"/>
  <c r="CN28" i="9" a="1"/>
  <c r="CP25" i="9" a="1"/>
  <c r="AG20" i="9" a="1"/>
  <c r="CA24" i="9" a="1"/>
  <c r="AW28" i="9" a="1"/>
  <c r="O39" i="9" a="1"/>
  <c r="V29" i="9" a="1"/>
  <c r="U32" i="9" a="1"/>
  <c r="BH21" i="9" a="1"/>
  <c r="AN25" i="9" a="1"/>
  <c r="CI27" i="9" a="1"/>
  <c r="CM21" i="9" a="1"/>
  <c r="O34" i="9" a="1"/>
  <c r="AK34" i="9" a="1"/>
  <c r="K38" i="9" a="1"/>
  <c r="BW22" i="9" a="1"/>
  <c r="AU23" i="9" a="1"/>
  <c r="CO36" i="9" a="1"/>
  <c r="BR37" i="9" a="1"/>
  <c r="K324" i="14"/>
  <c r="P25" i="9" a="1"/>
  <c r="T34" i="9" a="1"/>
  <c r="F32" i="9" a="1"/>
  <c r="AV29" i="9" a="1"/>
  <c r="CR29" i="9" a="1"/>
  <c r="AH38" i="9" a="1"/>
  <c r="CI38" i="9" a="1"/>
  <c r="S29" i="9" a="1"/>
  <c r="BT27" i="9" a="1"/>
  <c r="BN36" i="9" a="1"/>
  <c r="AE22" i="9" a="1"/>
  <c r="AD32" i="9" a="1"/>
  <c r="AW36" i="9" a="1"/>
  <c r="BZ21" i="9" a="1"/>
  <c r="W21" i="9" a="1"/>
  <c r="AY24" i="9" a="1"/>
  <c r="K476" i="22"/>
  <c r="Q21" i="9" a="1"/>
  <c r="BU20" i="9" a="1"/>
  <c r="BW24" i="9" a="1"/>
  <c r="K33" i="9" a="1"/>
  <c r="CB23" i="9" a="1"/>
  <c r="CG22" i="9" a="1"/>
  <c r="L38" i="9" a="1"/>
  <c r="BH23" i="9" a="1"/>
  <c r="K134" i="14"/>
  <c r="BB37" i="9" a="1"/>
  <c r="T26" i="9" a="1"/>
  <c r="AG39" i="9" a="1"/>
  <c r="AZ22" i="9" a="1"/>
  <c r="AU21" i="9" a="1"/>
  <c r="G27" i="9" a="1"/>
  <c r="Y29" i="9" a="1"/>
  <c r="AP26" i="9" a="1"/>
  <c r="BA35" i="9" a="1"/>
  <c r="BM37" i="9" a="1"/>
  <c r="CJ37" i="9" a="1"/>
  <c r="BB22" i="9" a="1"/>
  <c r="AC20" i="9" a="1"/>
  <c r="BI34" i="9" a="1"/>
  <c r="BA25" i="9" a="1"/>
  <c r="BE32" i="9" a="1"/>
  <c r="Y34" i="9" a="1"/>
  <c r="CF25" i="9" a="1"/>
  <c r="BY38" i="9" a="1"/>
  <c r="AV25" i="9" a="1"/>
  <c r="AL24" i="9" a="1"/>
  <c r="CE25" i="9" a="1"/>
  <c r="BO22" i="9" a="1"/>
  <c r="AJ33" i="9" a="1"/>
  <c r="AS34" i="9" a="1"/>
  <c r="CN22" i="9" a="1"/>
  <c r="F30" i="9" a="1"/>
  <c r="Q28" i="9" a="1"/>
  <c r="CB35" i="9" a="1"/>
  <c r="AI30" i="9" a="1"/>
  <c r="AL21" i="9" a="1"/>
  <c r="AW21" i="9" a="1"/>
  <c r="K1160" i="22"/>
  <c r="AY35" i="9" a="1"/>
  <c r="CM27" i="9" a="1"/>
  <c r="AP27" i="9" a="1"/>
  <c r="X35" i="9" a="1"/>
  <c r="BV20" i="9" a="1"/>
  <c r="P28" i="9" a="1"/>
  <c r="O28" i="9" a="1"/>
  <c r="CI30" i="9" a="1"/>
  <c r="AR23" i="9" a="1"/>
  <c r="AT23" i="9" a="1"/>
  <c r="AE37" i="9" a="1"/>
  <c r="V33" i="9" a="1"/>
  <c r="E29" i="9" a="1"/>
  <c r="CN38" i="9" a="1"/>
  <c r="BE27" i="9" a="1"/>
  <c r="BW36" i="9" a="1"/>
  <c r="CC36" i="9" a="1"/>
  <c r="K134" i="18"/>
  <c r="AW26" i="9" a="1"/>
  <c r="Z23" i="9" a="1"/>
  <c r="CG27" i="9" a="1"/>
  <c r="BC21" i="9" a="1"/>
  <c r="F36" i="9" a="1"/>
  <c r="AU28" i="9" a="1"/>
  <c r="BC20" i="9" a="1"/>
  <c r="E39" i="9" a="1"/>
  <c r="P32" i="9" a="1"/>
  <c r="AT26" i="9" a="1"/>
  <c r="BU32" i="9" a="1"/>
  <c r="AS31" i="9" a="1"/>
  <c r="BD39" i="9" a="1"/>
  <c r="BX35" i="9" a="1"/>
  <c r="BV28" i="9" a="1"/>
  <c r="BV22" i="9" a="1"/>
  <c r="BV33" i="9" a="1"/>
  <c r="R23" i="9" a="1"/>
  <c r="CB39" i="9" a="1"/>
  <c r="K438" i="22"/>
  <c r="AW32" i="9" a="1"/>
  <c r="AL32" i="9" a="1"/>
  <c r="AZ36" i="9" a="1"/>
  <c r="CO33" i="9" a="1"/>
  <c r="AM30" i="9" a="1"/>
  <c r="K590" i="14"/>
  <c r="BL27" i="9" a="1"/>
  <c r="BD21" i="9" a="1"/>
  <c r="AE27" i="9" a="1"/>
  <c r="CM20" i="9" a="1"/>
  <c r="G23" i="9" a="1"/>
  <c r="CB29" i="9" a="1"/>
  <c r="CH22" i="9" a="1"/>
  <c r="CI22" i="9" a="1"/>
  <c r="Y31" i="9" a="1"/>
  <c r="BH32" i="9" a="1"/>
  <c r="K666" i="14"/>
  <c r="BT29" i="9" a="1"/>
  <c r="AF23" i="9" a="1"/>
  <c r="AK20" i="9" a="1"/>
  <c r="CF39" i="9" a="1"/>
  <c r="S31" i="9" a="1"/>
  <c r="F39" i="9" a="1"/>
  <c r="BH35" i="9" a="1"/>
  <c r="G37" i="9" a="1"/>
  <c r="K1654" i="22"/>
  <c r="CB24" i="9" a="1"/>
  <c r="AR35" i="9" a="1"/>
  <c r="BA36" i="9" a="1"/>
  <c r="AI26" i="9" a="1"/>
  <c r="BQ25" i="9" a="1"/>
  <c r="AQ33" i="9" a="1"/>
  <c r="AA23" i="9" a="1"/>
  <c r="BX30" i="9" a="1"/>
  <c r="AB25" i="9" a="1"/>
  <c r="AA36" i="9" a="1"/>
  <c r="S20" i="9" a="1"/>
  <c r="CL25" i="9" a="1"/>
  <c r="AR30" i="9" a="1"/>
  <c r="AZ21" i="9" a="1"/>
  <c r="CO24" i="9" a="1"/>
  <c r="CR38" i="9" a="1"/>
  <c r="CH20" i="9" a="1"/>
  <c r="BK29" i="9" a="1"/>
  <c r="AU27" i="9" a="1"/>
  <c r="BT35" i="9" a="1"/>
  <c r="K362" i="22"/>
  <c r="BK28" i="9" a="1"/>
  <c r="AQ26" i="9" a="1"/>
  <c r="BK35" i="9" a="1"/>
  <c r="W31" i="9" a="1"/>
  <c r="BU28" i="9" a="1"/>
  <c r="AY28" i="9" a="1"/>
  <c r="BU31" i="9" a="1"/>
  <c r="BG35" i="9" a="1"/>
  <c r="AG31" i="9" a="1"/>
  <c r="BI22" i="9" a="1"/>
  <c r="CD33" i="9" a="1"/>
  <c r="BJ31" i="9" a="1"/>
  <c r="BF26" i="9" a="1"/>
  <c r="I24" i="9" a="1"/>
  <c r="BL37" i="9" a="1"/>
  <c r="BA21" i="9" a="1"/>
  <c r="BY33" i="9" a="1"/>
  <c r="BP23" i="9" a="1"/>
  <c r="CF28" i="9" a="1"/>
  <c r="G35" i="9" a="1"/>
  <c r="BK36" i="9" a="1"/>
  <c r="BO34" i="9" a="1"/>
  <c r="BP30" i="9" a="1"/>
  <c r="AE28" i="9" a="1"/>
  <c r="I33" i="9" a="1"/>
  <c r="CB25" i="9" a="1"/>
  <c r="AX20" i="9" a="1"/>
  <c r="AO36" i="9" a="1"/>
  <c r="AB38" i="9" a="1"/>
  <c r="AL23" i="9" a="1"/>
  <c r="BD35" i="9" a="1"/>
  <c r="AZ31" i="9" a="1"/>
  <c r="CK30" i="9" a="1"/>
  <c r="U39" i="9" a="1"/>
  <c r="BP31" i="9" a="1"/>
  <c r="BE36" i="9" a="1"/>
  <c r="CB30" i="9" a="1"/>
  <c r="AK30" i="9" a="1"/>
  <c r="AE36" i="9" a="1"/>
  <c r="BH25" i="9" a="1"/>
  <c r="BP22" i="9" a="1"/>
  <c r="BY22" i="9" a="1"/>
  <c r="CD25" i="9" a="1"/>
  <c r="P39" i="9" a="1"/>
  <c r="AR21" i="9" a="1"/>
  <c r="M23" i="9" a="1"/>
  <c r="CQ21" i="9" a="1"/>
  <c r="BB29" i="9" a="1"/>
  <c r="CG21" i="9" a="1"/>
  <c r="BB25" i="9" a="1"/>
  <c r="X21" i="9" a="1"/>
  <c r="Z29" i="9" a="1"/>
  <c r="AF38" i="9" a="1"/>
  <c r="Z39" i="9" a="1"/>
  <c r="AP32" i="9" a="1"/>
  <c r="AR33" i="9" a="1"/>
  <c r="BD28" i="9" a="1"/>
  <c r="AS25" i="9" a="1"/>
  <c r="Y23" i="9" a="1"/>
  <c r="BF21" i="9" a="1"/>
  <c r="BU25" i="9" a="1"/>
  <c r="AG33" i="9" a="1"/>
  <c r="BP32" i="9" a="1"/>
  <c r="H34" i="9" a="1"/>
  <c r="K20" i="15"/>
  <c r="CQ25" i="9" a="1"/>
  <c r="AT38" i="9" a="1"/>
  <c r="BS26" i="9" a="1"/>
  <c r="BJ21" i="9" a="1"/>
  <c r="K324" i="15"/>
  <c r="AT29" i="9" a="1"/>
  <c r="AW27" i="9" a="1"/>
  <c r="M25" i="9" a="1"/>
  <c r="CA37" i="9" a="1"/>
  <c r="BC36" i="9" a="1"/>
  <c r="X36" i="9" a="1"/>
  <c r="AQ22" i="9" a="1"/>
  <c r="AZ38" i="9" a="1"/>
  <c r="W30" i="9" a="1"/>
  <c r="AT34" i="9" a="1"/>
  <c r="BJ32" i="9" a="1"/>
  <c r="BQ26" i="9" a="1"/>
  <c r="CL37" i="9" a="1"/>
  <c r="CO30" i="9" a="1"/>
  <c r="BF36" i="9" a="1"/>
  <c r="AD26" i="9" a="1"/>
  <c r="R33" i="9" a="1"/>
  <c r="H20" i="9" a="1"/>
  <c r="CE27" i="9" a="1"/>
  <c r="BN23" i="9" a="1"/>
  <c r="S27" i="9" a="1"/>
  <c r="CI29" i="9" a="1"/>
  <c r="BG38" i="9" a="1"/>
  <c r="M36" i="9" a="1"/>
  <c r="K172" i="5"/>
  <c r="AF28" i="9" a="1"/>
  <c r="CG39" i="9" a="1"/>
  <c r="BQ38" i="9" a="1"/>
  <c r="BQ31" i="9" a="1"/>
  <c r="AD27" i="9" a="1"/>
  <c r="AV26" i="9" a="1"/>
  <c r="CA38" i="9" a="1"/>
  <c r="K210" i="5"/>
  <c r="CD36" i="9" a="1"/>
  <c r="AR34" i="9" a="1"/>
  <c r="O29" i="9" a="1"/>
  <c r="AB34" i="9" a="1"/>
  <c r="AT35" i="9" a="1"/>
  <c r="BS33" i="9" a="1"/>
  <c r="CK21" i="9" a="1"/>
  <c r="AO35" i="9" a="1"/>
  <c r="Q24" i="9" a="1"/>
  <c r="BC24" i="9" a="1"/>
  <c r="AA20" i="9" a="1"/>
  <c r="CN34" i="9" a="1"/>
  <c r="BC22" i="9" a="1"/>
  <c r="BP34" i="9" a="1"/>
  <c r="BZ36" i="9" a="1"/>
  <c r="O33" i="9" a="1"/>
  <c r="BL20" i="9" a="1"/>
  <c r="K286" i="15"/>
  <c r="BS34" i="9" a="1"/>
  <c r="AH27" i="9" a="1"/>
  <c r="AT22" i="9" a="1"/>
  <c r="BC32" i="9" a="1"/>
  <c r="CQ34" i="9" a="1"/>
  <c r="Z22" i="9" a="1"/>
  <c r="BW38" i="9" a="1"/>
  <c r="AX34" i="9" a="1"/>
  <c r="X33" i="9" a="1"/>
  <c r="CH26" i="9" a="1"/>
  <c r="CC35" i="9" a="1"/>
  <c r="CQ32" i="9" a="1"/>
  <c r="BJ37" i="9" a="1"/>
  <c r="AT24" i="9" a="1"/>
  <c r="X38" i="9" a="1"/>
  <c r="CA29" i="9" a="1"/>
  <c r="BN32" i="9" a="1"/>
  <c r="BX38" i="9" a="1"/>
  <c r="AY31" i="9" a="1"/>
  <c r="BS36" i="9" a="1"/>
  <c r="CK38" i="9" a="1"/>
  <c r="P22" i="9" a="1"/>
  <c r="K36" i="9" a="1"/>
  <c r="CA25" i="9" a="1"/>
  <c r="CL27" i="9" a="1"/>
  <c r="CM39" i="9" a="1"/>
  <c r="AX30" i="9" a="1"/>
  <c r="K96" i="15"/>
  <c r="CF23" i="9" a="1"/>
  <c r="AT28" i="9" a="1"/>
  <c r="K27" i="9" a="1"/>
  <c r="Q27" i="9" a="1"/>
  <c r="BG23" i="9" a="1"/>
  <c r="AI31" i="9" a="1"/>
  <c r="BT21" i="9" a="1"/>
  <c r="AV22" i="9" a="1"/>
  <c r="CD23" i="9" a="1"/>
  <c r="G34" i="9" a="1"/>
  <c r="BI27" i="9" a="1"/>
  <c r="U26" i="9" a="1"/>
  <c r="BN24" i="9" a="1"/>
  <c r="BJ27" i="9" a="1"/>
  <c r="E27" i="9" a="1"/>
  <c r="AH21" i="9" a="1"/>
  <c r="CP20" i="9" a="1"/>
  <c r="W39" i="9" a="1"/>
  <c r="BD32" i="9" a="1"/>
  <c r="AO22" i="9" a="1"/>
  <c r="CL33" i="9" a="1"/>
  <c r="BF25" i="9" a="1"/>
  <c r="AH20" i="9" a="1"/>
  <c r="AE30" i="9" a="1"/>
  <c r="R25" i="9" a="1"/>
  <c r="CK31" i="9" a="1"/>
  <c r="AR38" i="9" a="1"/>
  <c r="AQ34" i="9" a="1"/>
  <c r="CK24" i="9" a="1"/>
  <c r="Q34" i="9" a="1"/>
  <c r="AG25" i="9" a="1"/>
  <c r="K23" i="9" a="1"/>
  <c r="AM33" i="9" a="1"/>
  <c r="X32" i="9" a="1"/>
  <c r="BQ23" i="9" a="1"/>
  <c r="CC37" i="9" a="1"/>
  <c r="BD25" i="9" a="1"/>
  <c r="AK36" i="9" a="1"/>
  <c r="CH37" i="9" a="1"/>
  <c r="AA28" i="9" a="1"/>
  <c r="AS30" i="9" a="1"/>
  <c r="CH34" i="9" a="1"/>
  <c r="K58" i="5"/>
  <c r="BS31" i="9" a="1"/>
  <c r="AO27" i="9" a="1"/>
  <c r="K1768" i="22"/>
  <c r="I39" i="9" a="1"/>
  <c r="CM25" i="9" a="1"/>
  <c r="AL29" i="9" a="1"/>
  <c r="O37" i="9" a="1"/>
  <c r="G21" i="9" a="1"/>
  <c r="BF37" i="9" a="1"/>
  <c r="AH31" i="9" a="1"/>
  <c r="L30" i="9" a="1"/>
  <c r="CD34" i="9" a="1"/>
  <c r="AI20" i="9" a="1"/>
  <c r="CH33" i="9" a="1"/>
  <c r="AX29" i="9" a="1"/>
  <c r="CJ39" i="9" a="1"/>
  <c r="AA34" i="9" a="1"/>
  <c r="T22" i="9" a="1"/>
  <c r="K210" i="15"/>
  <c r="Q30" i="9" a="1"/>
  <c r="V39" i="9" a="1"/>
  <c r="AI29" i="9" a="1"/>
  <c r="AF26" i="9" a="1"/>
  <c r="AC24" i="9" a="1"/>
  <c r="AI21" i="9" a="1"/>
  <c r="CL35" i="9" a="1"/>
  <c r="CD37" i="9" a="1"/>
  <c r="BO29" i="9" a="1"/>
  <c r="BS20" i="9" a="1"/>
  <c r="H31" i="9" a="1"/>
  <c r="BZ24" i="9" a="1"/>
  <c r="CB36" i="9" a="1"/>
  <c r="AO26" i="9" a="1"/>
  <c r="BK26" i="9" a="1"/>
  <c r="BM25" i="9" a="1"/>
  <c r="BC28" i="9" a="1"/>
  <c r="Z28" i="9" a="1"/>
  <c r="AR31" i="9" a="1"/>
  <c r="AB37" i="9" a="1"/>
  <c r="P33" i="9" a="1"/>
  <c r="AG29" i="9" a="1"/>
  <c r="AK37" i="9" a="1"/>
  <c r="AJ29" i="9" a="1"/>
  <c r="N33" i="9" a="1"/>
  <c r="BN37" i="9" a="1"/>
  <c r="CR22" i="9" a="1"/>
  <c r="BT37" i="9" a="1"/>
  <c r="K172" i="18"/>
  <c r="Q29" i="9" a="1"/>
  <c r="BG22" i="9" a="1"/>
  <c r="U30" i="9" a="1"/>
  <c r="AV35" i="9" a="1"/>
  <c r="AY38" i="9" a="1"/>
  <c r="AN29" i="9" a="1"/>
  <c r="BY37" i="9" a="1"/>
  <c r="BF20" i="9" a="1"/>
  <c r="AA26" i="9" a="1"/>
  <c r="BM36" i="9" a="1"/>
  <c r="AS22" i="9" a="1"/>
  <c r="X24" i="9" a="1"/>
  <c r="Z27" i="9" a="1"/>
  <c r="AX27" i="9" a="1"/>
  <c r="CD27" i="9" a="1"/>
  <c r="H26" i="9" a="1"/>
  <c r="CA27" i="9" a="1"/>
  <c r="BZ26" i="9" a="1"/>
  <c r="AS23" i="9" a="1"/>
  <c r="AL37" i="9" a="1"/>
  <c r="AK31" i="9" a="1"/>
  <c r="X31" i="9" a="1"/>
  <c r="AE23" i="9" a="1"/>
  <c r="AC35" i="9" a="1"/>
  <c r="CR30" i="9" a="1"/>
  <c r="AF29" i="9" a="1"/>
  <c r="K134" i="22"/>
  <c r="F34" i="9" a="1"/>
  <c r="BS32" i="9" a="1"/>
  <c r="S34" i="9" a="1"/>
  <c r="AO33" i="9" a="1"/>
  <c r="BR29" i="9" a="1"/>
  <c r="I26" i="9" a="1"/>
  <c r="AC25" i="9" a="1"/>
  <c r="BY26" i="9" a="1"/>
  <c r="CD26" i="9" a="1"/>
  <c r="W25" i="9" a="1"/>
  <c r="K24" i="9" a="1"/>
  <c r="AV31" i="9" a="1"/>
  <c r="M39" i="9" a="1"/>
  <c r="AB35" i="9" a="1"/>
  <c r="AM22" i="9" a="1"/>
  <c r="CI20" i="9" a="1"/>
  <c r="K742" i="22"/>
  <c r="CM32" i="9" a="1"/>
  <c r="AQ25" i="9" a="1"/>
  <c r="BV29" i="9" a="1"/>
  <c r="CM23" i="9" a="1"/>
  <c r="F23" i="9" a="1"/>
  <c r="CO25" i="9" a="1"/>
  <c r="CP28" i="9" a="1"/>
  <c r="BW23" i="9" a="1"/>
  <c r="AE21" i="9" a="1"/>
  <c r="AA32" i="9" a="1"/>
  <c r="I35" i="9" a="1"/>
  <c r="BQ27" i="9" a="1"/>
  <c r="AB30" i="9" a="1"/>
  <c r="BQ35" i="9" a="1"/>
  <c r="N36" i="9" a="1"/>
  <c r="BK21" i="9" a="1"/>
  <c r="CD24" i="9" a="1"/>
  <c r="AF21" i="9" a="1"/>
  <c r="AG30" i="9" a="1"/>
  <c r="S28" i="9" a="1"/>
  <c r="CO21" i="9" a="1"/>
  <c r="Q39" i="9" a="1"/>
  <c r="CI36" i="9" a="1"/>
  <c r="AB21" i="9" a="1"/>
  <c r="R29" i="9" a="1"/>
  <c r="CD28" i="9" a="1"/>
  <c r="CH24" i="9" a="1"/>
  <c r="BZ31" i="9" a="1"/>
  <c r="AO37" i="9" a="1"/>
  <c r="CC34" i="9" a="1"/>
  <c r="O32" i="9" a="1"/>
  <c r="BC37" i="9" a="1"/>
  <c r="AP38" i="9" a="1"/>
  <c r="AA25" i="9" a="1"/>
  <c r="CN24" i="9" a="1"/>
  <c r="T33" i="9" a="1"/>
  <c r="AH36" i="9" a="1"/>
  <c r="O31" i="9" a="1"/>
  <c r="AE38" i="9" a="1"/>
  <c r="AW29" i="9" a="1"/>
  <c r="BK20" i="9" a="1"/>
  <c r="AV33" i="9" a="1"/>
  <c r="AU33" i="9" a="1"/>
  <c r="BT22" i="9" a="1"/>
  <c r="AH23" i="9" a="1"/>
  <c r="W29" i="9" a="1"/>
  <c r="CF30" i="9" a="1"/>
  <c r="W26" i="9" a="1"/>
  <c r="Z25" i="9" a="1"/>
  <c r="Z21" i="9" a="1"/>
  <c r="U21" i="9" a="1"/>
  <c r="BF33" i="9" a="1"/>
  <c r="BY32" i="9" a="1"/>
  <c r="M29" i="9" a="1"/>
  <c r="K37" i="9" a="1"/>
  <c r="AO21" i="9" a="1"/>
  <c r="CQ37" i="9" a="1"/>
  <c r="L37" i="9" a="1"/>
  <c r="E20" i="9" a="1"/>
  <c r="AF39" i="9" a="1"/>
  <c r="W35" i="9" a="1"/>
  <c r="AX26" i="9" a="1"/>
  <c r="CF34" i="9" a="1"/>
  <c r="CM28" i="9" a="1"/>
  <c r="CI21" i="9" a="1"/>
  <c r="R21" i="9" a="1"/>
  <c r="Q37" i="9" a="1"/>
  <c r="K932" i="22"/>
  <c r="BL32" i="9" a="1"/>
  <c r="E35" i="9" a="1"/>
  <c r="AL30" i="9" a="1"/>
  <c r="BT30" i="9" a="1"/>
  <c r="K514" i="14"/>
  <c r="AJ23" i="9" a="1"/>
  <c r="E33" i="9" a="1"/>
  <c r="CI26" i="9" a="1"/>
  <c r="AY25" i="9" a="1"/>
  <c r="AD25" i="9" a="1"/>
  <c r="AY30" i="9" a="1"/>
  <c r="CI39" i="9" a="1"/>
  <c r="CB20" i="9" a="1"/>
  <c r="BN22" i="9" a="1"/>
  <c r="BW34" i="9" a="1"/>
  <c r="U36" i="9" a="1"/>
  <c r="BM28" i="9" a="1"/>
  <c r="K400" i="14"/>
  <c r="H21" i="9" a="1"/>
  <c r="AS28" i="9" a="1"/>
  <c r="BU26" i="9" a="1"/>
  <c r="CQ24" i="9" a="1"/>
  <c r="CG30" i="9" a="1"/>
  <c r="K286" i="22"/>
  <c r="AX39" i="9" a="1"/>
  <c r="BC38" i="9" a="1"/>
  <c r="AU20" i="9" a="1"/>
  <c r="AO28" i="9" a="1"/>
  <c r="BX20" i="9" a="1"/>
  <c r="BB24" i="9" a="1"/>
  <c r="CE30" i="9" a="1"/>
  <c r="CC38" i="9" a="1"/>
  <c r="M21" i="9" a="1"/>
  <c r="AI24" i="9" a="1"/>
  <c r="BP27" i="9" a="1"/>
  <c r="AD38" i="9" a="1"/>
  <c r="CI24" i="9" a="1"/>
  <c r="AV34" i="9" a="1"/>
  <c r="AN23" i="9" a="1"/>
  <c r="AI25" i="9" a="1"/>
  <c r="BI25" i="9" a="1"/>
  <c r="I25" i="9" a="1"/>
  <c r="BM21" i="9" a="1"/>
  <c r="BB21" i="9" a="1"/>
  <c r="AW22" i="9" a="1"/>
  <c r="M22" i="9" a="1"/>
  <c r="BQ37" i="9" a="1"/>
  <c r="BS21" i="9" a="1"/>
  <c r="CP34" i="9" a="1"/>
  <c r="W38" i="9" a="1"/>
  <c r="V30" i="9" a="1"/>
  <c r="AL38" i="9" a="1"/>
  <c r="BM38" i="9" a="1"/>
  <c r="AH25" i="9" a="1"/>
  <c r="CI25" i="9" a="1"/>
  <c r="K34" i="9" a="1"/>
  <c r="Z37" i="9" a="1"/>
  <c r="AE39" i="9" a="1"/>
  <c r="K628" i="14"/>
  <c r="BJ36" i="9" a="1"/>
  <c r="K172" i="22"/>
  <c r="AL22" i="9" a="1"/>
  <c r="BZ25" i="9" a="1"/>
  <c r="K96" i="18"/>
  <c r="X39" i="9" a="1"/>
  <c r="L25" i="9" a="1"/>
  <c r="BU37" i="9" a="1"/>
  <c r="BZ22" i="9" a="1"/>
  <c r="Y21" i="9" a="1"/>
  <c r="AW33" i="9" a="1"/>
  <c r="BK22" i="9" a="1"/>
  <c r="P38" i="9" a="1"/>
  <c r="BF35" i="9" a="1"/>
  <c r="AN20" i="9" a="1"/>
  <c r="AN24" i="9" a="1"/>
  <c r="CA36" i="9" a="1"/>
  <c r="CL39" i="9" a="1"/>
  <c r="BL22" i="9" a="1"/>
  <c r="AD37" i="9" a="1"/>
  <c r="AC37" i="9" a="1"/>
  <c r="K286" i="14"/>
  <c r="BH39" i="9" a="1"/>
  <c r="AW30" i="9" a="1"/>
  <c r="R34" i="9" a="1"/>
  <c r="AI34" i="9" a="1"/>
  <c r="M34" i="9" a="1"/>
  <c r="AB36" i="9" a="1"/>
  <c r="CL29" i="9" a="1"/>
  <c r="AL20" i="9" a="1"/>
  <c r="AB29" i="9" a="1"/>
  <c r="AF22" i="9" a="1"/>
  <c r="W37" i="9" a="1"/>
  <c r="M28" i="9" a="1"/>
  <c r="S30" i="9" a="1"/>
  <c r="AV39" i="9" a="1"/>
  <c r="K856" i="22"/>
  <c r="BM39" i="9" a="1"/>
  <c r="K704" i="22"/>
  <c r="BJ25" i="9" a="1"/>
  <c r="CQ35" i="9" a="1"/>
  <c r="E37" i="9" a="1"/>
  <c r="BQ30" i="9" a="1"/>
  <c r="BW21" i="9" a="1"/>
  <c r="Y20" i="9" a="1"/>
  <c r="BA37" i="9" a="1"/>
  <c r="BE33" i="9" a="1"/>
  <c r="CL30" i="9" a="1"/>
  <c r="AP34" i="9" a="1"/>
  <c r="BF29" i="9" a="1"/>
  <c r="AN30" i="9" a="1"/>
  <c r="N29" i="9" a="1"/>
  <c r="BM26" i="9" a="1"/>
  <c r="K704" i="14"/>
  <c r="BU21" i="9" a="1"/>
  <c r="AB20" i="9" a="1"/>
  <c r="BE34" i="9" a="1"/>
  <c r="BS25" i="9" a="1"/>
  <c r="CL20" i="9" a="1"/>
  <c r="AM21" i="9" a="1"/>
  <c r="CC26" i="9" a="1"/>
  <c r="BI21" i="9" a="1"/>
  <c r="CQ27" i="9" a="1"/>
  <c r="BD24" i="9" a="1"/>
  <c r="AD20" i="9" a="1"/>
  <c r="W36" i="9" a="1"/>
  <c r="T37" i="9" a="1"/>
  <c r="AU39" i="9" a="1"/>
  <c r="K1350" i="22"/>
  <c r="K362" i="14"/>
  <c r="AY21" i="9" a="1"/>
  <c r="J23" i="9" a="1"/>
  <c r="T39" i="9" a="1"/>
  <c r="AG35" i="9" a="1"/>
  <c r="K210" i="22"/>
  <c r="BA26" i="9" a="1"/>
  <c r="X20" i="9" a="1"/>
  <c r="BY25" i="9" a="1"/>
  <c r="AX33" i="9" a="1"/>
  <c r="CG23" i="9" a="1"/>
  <c r="K58" i="13"/>
  <c r="CH29" i="9" a="1"/>
  <c r="BK23" i="9" a="1"/>
  <c r="AU31" i="9" a="1"/>
  <c r="K1426" i="22"/>
  <c r="CN21" i="9" a="1"/>
  <c r="X30" i="9" a="1"/>
  <c r="CK25" i="9" a="1"/>
  <c r="CI23" i="9" a="1"/>
  <c r="BC34" i="9" a="1"/>
  <c r="BA29" i="9" a="1"/>
  <c r="BW25" i="9" a="1"/>
  <c r="R31" i="9" a="1"/>
  <c r="Q26" i="9" a="1"/>
  <c r="H25" i="9" a="1"/>
  <c r="AN39" i="9" a="1"/>
  <c r="BB27" i="9" a="1"/>
  <c r="BM20" i="9" a="1"/>
  <c r="BI20" i="9" a="1"/>
  <c r="CM34" i="9" a="1"/>
  <c r="K248" i="22"/>
  <c r="CD29" i="9" a="1"/>
  <c r="CC29" i="9" a="1"/>
  <c r="AV36" i="9" a="1"/>
  <c r="T28" i="9" a="1"/>
  <c r="AR36" i="9" a="1"/>
  <c r="AZ32" i="9" a="1"/>
  <c r="CG34" i="9" a="1"/>
  <c r="K172" i="15"/>
  <c r="BJ28" i="9" a="1"/>
  <c r="AG23" i="9" a="1"/>
  <c r="J20" i="9" a="1"/>
  <c r="BA34" i="9" a="1"/>
  <c r="BB26" i="9" a="1"/>
  <c r="AC21" i="9" a="1"/>
  <c r="AF25" i="9" a="1"/>
  <c r="J24" i="9" a="1"/>
  <c r="K1274" i="22"/>
  <c r="AC23" i="9" a="1"/>
  <c r="AZ39" i="9" a="1"/>
  <c r="T20" i="9" a="1"/>
  <c r="BL23" i="9" a="1"/>
  <c r="T30" i="9" a="1"/>
  <c r="CD20" i="9" a="1"/>
  <c r="BA27" i="9" a="1"/>
  <c r="CR37" i="9" a="1"/>
  <c r="K58" i="22"/>
  <c r="BT25" i="9" a="1"/>
  <c r="BP33" i="9" a="1"/>
  <c r="CA30" i="9" a="1"/>
  <c r="AO38" i="9" a="1"/>
  <c r="CP37" i="9" a="1"/>
  <c r="L29" i="9" a="1"/>
  <c r="BO35" i="9" a="1"/>
  <c r="S33" i="9" a="1"/>
  <c r="Z33" i="9" a="1"/>
  <c r="BC30" i="9" a="1"/>
  <c r="AX32" i="9" a="1"/>
  <c r="M37" i="9" a="1"/>
  <c r="G24" i="9" a="1"/>
  <c r="Q33" i="9" a="1"/>
  <c r="BN30" i="9" a="1"/>
  <c r="Q32" i="9" a="1"/>
  <c r="K1464" i="22"/>
  <c r="AQ35" i="9" a="1"/>
  <c r="BZ35" i="9" a="1"/>
  <c r="BJ35" i="9" a="1"/>
  <c r="AA37" i="9" a="1"/>
  <c r="T27" i="9" a="1"/>
  <c r="AW23" i="9" a="1"/>
  <c r="U37" i="9" a="1"/>
  <c r="W22" i="9" a="1"/>
  <c r="K1084" i="22"/>
  <c r="CJ33" i="9" a="1"/>
  <c r="BX33" i="9" a="1"/>
  <c r="AM20" i="9" a="1"/>
  <c r="AQ27" i="9" a="1"/>
  <c r="BH28" i="9" a="1"/>
  <c r="Y28" i="9" a="1"/>
  <c r="CR28" i="9" a="1"/>
  <c r="AQ31" i="9" a="1"/>
  <c r="AT20" i="9" a="1"/>
  <c r="F25" i="9" a="1"/>
  <c r="BY20" i="9" a="1"/>
  <c r="BL33" i="9" a="1"/>
  <c r="CI34" i="9" a="1"/>
  <c r="CN26" i="9" a="1"/>
  <c r="BG37" i="9" a="1"/>
  <c r="AF36" i="9" a="1"/>
  <c r="Y38" i="9" a="1"/>
  <c r="O38" i="9" a="1"/>
  <c r="AR29" i="9" a="1"/>
  <c r="BM30" i="9" a="1"/>
  <c r="BP29" i="9" a="1"/>
  <c r="K20" i="5"/>
  <c r="F31" i="9" a="1"/>
  <c r="K400" i="22"/>
  <c r="BH37" i="9" a="1"/>
  <c r="BD30" i="9" a="1"/>
  <c r="K780" i="22"/>
  <c r="H30" i="9" a="1"/>
  <c r="K20" i="14"/>
  <c r="G22" i="9" a="1"/>
  <c r="BH26" i="9" a="1"/>
  <c r="BE21" i="9" a="1"/>
  <c r="CE36" i="9" a="1"/>
  <c r="AH24" i="9" a="1"/>
  <c r="AN38" i="9" a="1"/>
  <c r="J31" i="9" a="1"/>
  <c r="Q20" i="9" a="1"/>
  <c r="O22" i="9" a="1"/>
  <c r="AN21" i="9" a="1"/>
  <c r="AT33" i="9" a="1"/>
  <c r="S22" i="9" a="1"/>
  <c r="CR36" i="9" a="1"/>
  <c r="AJ35" i="9" a="1"/>
  <c r="AP29" i="9" a="1"/>
  <c r="S39" i="9" a="1"/>
  <c r="K21" i="9" a="1"/>
  <c r="BG39" i="9" a="1"/>
  <c r="T21" i="9" a="1"/>
  <c r="Q31" i="9" a="1"/>
  <c r="AE29" i="9" a="1"/>
  <c r="CA22" i="9" a="1"/>
  <c r="CE32" i="9" a="1"/>
  <c r="CK20" i="9" a="1"/>
  <c r="N23" i="9" a="1"/>
  <c r="CK27" i="9" a="1"/>
  <c r="G33" i="9" a="1"/>
  <c r="AP33" i="9" a="1"/>
  <c r="CR32" i="9" a="1"/>
  <c r="S26" i="9" a="1"/>
  <c r="K590" i="22"/>
  <c r="O24" i="9" a="1"/>
  <c r="K31" i="9" a="1"/>
  <c r="BF38" i="9" a="1"/>
  <c r="CK29" i="9" a="1"/>
  <c r="J32" i="9" a="1"/>
  <c r="K1540" i="22"/>
  <c r="AU38" i="9" a="1"/>
  <c r="BV37" i="9" a="1"/>
  <c r="BR21" i="9" a="1"/>
  <c r="BZ32" i="9" a="1"/>
  <c r="AV37" i="9" a="1"/>
  <c r="Z30" i="9" a="1"/>
  <c r="AQ39" i="9" a="1"/>
  <c r="AK24" i="9" a="1"/>
  <c r="BO23" i="9" a="1"/>
  <c r="AW24" i="9" a="1"/>
  <c r="K58" i="14"/>
  <c r="CF20" i="9" a="1"/>
  <c r="CL26" i="9" a="1"/>
  <c r="M30" i="9" a="1"/>
  <c r="CL38" i="9" a="1"/>
  <c r="AJ32" i="9" a="1"/>
  <c r="CH25" i="9" a="1"/>
  <c r="BN33" i="9" a="1"/>
  <c r="AZ20" i="9" a="1"/>
  <c r="CJ20" i="9" a="1"/>
  <c r="AD33" i="9" a="1"/>
  <c r="CD21" i="9" a="1"/>
  <c r="BP35" i="9" a="1"/>
  <c r="AF24" i="9" a="1"/>
  <c r="BQ21" i="9" a="1"/>
  <c r="BF39" i="9" a="1"/>
  <c r="BH30" i="9" a="1"/>
  <c r="CN31" i="9" a="1"/>
  <c r="W23" i="9" a="1"/>
  <c r="AM29" i="9" a="1"/>
  <c r="CQ38" i="9" a="1"/>
  <c r="E31" i="9" a="1"/>
  <c r="K29" i="9" a="1"/>
  <c r="P35" i="9" a="1"/>
  <c r="BR28" i="9" a="1"/>
  <c r="AQ37" i="9" a="1"/>
  <c r="V28" i="9" a="1"/>
  <c r="BO38" i="9" a="1"/>
  <c r="K1122" i="22"/>
  <c r="CK39" i="9" a="1"/>
  <c r="CD32" i="9" a="1"/>
  <c r="CM30" i="9" a="1"/>
  <c r="S37" i="9" a="1"/>
  <c r="AD24" i="9" a="1"/>
  <c r="AZ30" i="9" a="1"/>
  <c r="AT30" i="9" a="1"/>
  <c r="K1502" i="22"/>
  <c r="AM27" i="9" a="1"/>
  <c r="AH34" i="9" a="1"/>
  <c r="AN28" i="9" a="1"/>
  <c r="BE20" i="9" a="1"/>
  <c r="BK38" i="9" a="1"/>
  <c r="AZ37" i="9" a="1"/>
  <c r="CJ21" i="9" a="1"/>
  <c r="CL22" i="9" a="1"/>
  <c r="BO21" i="9" a="1"/>
  <c r="L34" i="9" a="1"/>
  <c r="BW31" i="9" a="1"/>
  <c r="E26" i="9" a="1"/>
  <c r="BO28" i="9" a="1"/>
  <c r="J34" i="9" a="1"/>
  <c r="AN32" i="9" a="1"/>
  <c r="BZ20" i="9" a="1"/>
  <c r="AS21" i="9" a="1"/>
  <c r="AO34" i="9" a="1"/>
  <c r="BN25" i="9" a="1"/>
  <c r="AN22" i="9" a="1"/>
  <c r="U34" i="9" a="1"/>
  <c r="BK24" i="9" a="1"/>
  <c r="CA33" i="9" a="1"/>
  <c r="AO23" i="9" a="1"/>
  <c r="AS29" i="9" a="1"/>
  <c r="BV32" i="9" a="1"/>
  <c r="CA26" i="9" a="1"/>
  <c r="AC36" i="9" a="1"/>
  <c r="CN30" i="9" a="1"/>
  <c r="BG20" i="9" a="1"/>
  <c r="BO32" i="9" a="1"/>
  <c r="CR35" i="9" a="1"/>
  <c r="AY34" i="9" a="1"/>
  <c r="BR35" i="9" a="1"/>
  <c r="Y32" i="9" a="1"/>
  <c r="BV39" i="9" a="1"/>
  <c r="K1730" i="22"/>
  <c r="AK32" i="9" a="1"/>
  <c r="K20" i="9" a="1"/>
  <c r="CO37" i="9" a="1"/>
  <c r="CC23" i="9" a="1"/>
  <c r="V34" i="9" a="1"/>
  <c r="Q38" i="9" a="1"/>
  <c r="AI33" i="9" a="1"/>
  <c r="H23" i="9" a="1"/>
  <c r="U28" i="9" a="1"/>
  <c r="CE33" i="9" a="1"/>
  <c r="BL30" i="9" a="1"/>
  <c r="AG37" i="9" a="1"/>
  <c r="AJ20" i="9" a="1"/>
  <c r="K1236" i="22"/>
  <c r="O20" i="9" a="1"/>
  <c r="K1046" i="22"/>
  <c r="L24" i="9" a="1"/>
  <c r="AE33" i="9" a="1"/>
  <c r="K476" i="14"/>
  <c r="Z20" i="9" a="1"/>
  <c r="CJ34" i="9" a="1"/>
  <c r="BE38" i="9" a="1"/>
  <c r="CM38" i="9" a="1"/>
  <c r="AS32" i="9" a="1"/>
  <c r="CP30" i="9" a="1"/>
  <c r="P24" i="9" a="1"/>
  <c r="K894" i="22"/>
  <c r="AF37" i="9" a="1"/>
  <c r="BK30" i="9" a="1"/>
  <c r="I20" i="9" a="1"/>
  <c r="CL28" i="9" a="1"/>
  <c r="V38" i="9" a="1"/>
  <c r="AJ34" i="9" a="1"/>
  <c r="CF27" i="9" a="1"/>
  <c r="BI37" i="9" a="1"/>
  <c r="BY28" i="9" a="1"/>
  <c r="AI22" i="9" a="1"/>
  <c r="Y22" i="9" a="1"/>
  <c r="BE24" i="9" a="1"/>
  <c r="BX23" i="9" a="1"/>
  <c r="CA28" i="9" a="1"/>
  <c r="BQ34" i="9" a="1"/>
  <c r="BH34" i="9" a="1"/>
  <c r="AG38" i="9" a="1"/>
  <c r="CJ29" i="9" a="1"/>
  <c r="AG21" i="9" a="1"/>
  <c r="K210" i="14"/>
  <c r="CH23" i="9" a="1"/>
  <c r="CL34" i="9" a="1"/>
  <c r="AY36" i="9" a="1"/>
  <c r="CO35" i="9" a="1"/>
  <c r="CJ28" i="9" a="1"/>
  <c r="AS33" i="9" a="1"/>
  <c r="BR24" i="9" a="1"/>
  <c r="AE24" i="9" a="1"/>
  <c r="CG26" i="9" a="1"/>
  <c r="AC28" i="9" a="1"/>
  <c r="CE37" i="9" a="1"/>
  <c r="BH38" i="9" a="1"/>
  <c r="CK34" i="9" a="1"/>
  <c r="H33" i="9" a="1"/>
  <c r="L22" i="9" a="1"/>
  <c r="CI33" i="9" a="1"/>
  <c r="BR20" i="9" a="1"/>
  <c r="AE20" i="9" a="1"/>
  <c r="CP33" i="9" a="1"/>
  <c r="W20" i="9" a="1"/>
  <c r="BM24" i="9" a="1"/>
  <c r="CD30" i="9" a="1"/>
  <c r="AC29" i="9" a="1"/>
  <c r="AF30" i="9" a="1"/>
  <c r="CM26" i="9" a="1"/>
  <c r="CM24" i="9" a="1"/>
  <c r="BP38" i="9" a="1"/>
  <c r="AV21" i="9" a="1"/>
  <c r="BG29" i="9" a="1"/>
  <c r="BZ38" i="9" a="1"/>
  <c r="BE26" i="9" a="1"/>
  <c r="X26" i="9" a="1"/>
  <c r="BZ27" i="9" a="1"/>
  <c r="AX22" i="9" a="1"/>
  <c r="BF28" i="9" a="1"/>
  <c r="AK22" i="9" a="1"/>
  <c r="Q22" i="9" a="1"/>
  <c r="BY23" i="9" a="1"/>
  <c r="CO38" i="9" a="1"/>
  <c r="AO20" i="9" a="1"/>
  <c r="BJ33" i="9" a="1"/>
  <c r="AH22" i="9" a="1"/>
  <c r="AH30" i="9" a="1"/>
  <c r="BI29" i="9" a="1"/>
  <c r="CJ38" i="9" a="1"/>
  <c r="AH32" i="9" a="1"/>
  <c r="BU24" i="9" a="1"/>
  <c r="F24" i="9" a="1"/>
  <c r="CO27" i="9" a="1"/>
  <c r="AP36" i="9" a="1"/>
  <c r="F21" i="9" a="1"/>
  <c r="CF35" i="9" a="1"/>
  <c r="CP26" i="9" a="1"/>
  <c r="BT34" i="9" a="1"/>
  <c r="CO31" i="9" a="1"/>
  <c r="J38" i="9" a="1"/>
  <c r="I29" i="9" a="1"/>
  <c r="AL27" i="9" a="1"/>
  <c r="AS27" i="9" a="1"/>
  <c r="BY21" i="9" a="1"/>
  <c r="AX21" i="9" a="1"/>
  <c r="CO29" i="9" a="1"/>
  <c r="AA21" i="9" a="1"/>
  <c r="AB24" i="9" a="1"/>
  <c r="BX21" i="9" a="1"/>
  <c r="AK35" i="9" a="1"/>
  <c r="BA24" i="9" a="1"/>
  <c r="BP37" i="9" a="1"/>
  <c r="BL21" i="9" a="1"/>
  <c r="G26" i="9" a="1"/>
  <c r="I34" i="9" a="1"/>
  <c r="BG33" i="9" a="1"/>
  <c r="BU27" i="9" a="1"/>
  <c r="N31" i="9" a="1"/>
  <c r="AF33" i="9" a="1"/>
  <c r="AU30" i="9" a="1"/>
  <c r="AG36" i="9" a="1"/>
  <c r="BV21" i="9" a="1"/>
  <c r="E23" i="9" a="1"/>
  <c r="BL28" i="9" a="1"/>
  <c r="CB37" i="9" a="1"/>
  <c r="Q36" i="9" a="1"/>
  <c r="BG27" i="9" a="1"/>
  <c r="BT26" i="9" a="1"/>
  <c r="AK23" i="9" a="1"/>
  <c r="BX32" i="9" a="1"/>
  <c r="BM33" i="9" a="1"/>
  <c r="AD21" i="9" a="1"/>
  <c r="AP21" i="9" a="1"/>
  <c r="CK23" i="9" a="1"/>
  <c r="AD34" i="9" a="1"/>
  <c r="AJ21" i="9" a="1"/>
  <c r="BX31" i="9" a="1"/>
  <c r="AM26" i="9" a="1"/>
  <c r="P37" i="9" a="1"/>
  <c r="AH37" i="9" a="1"/>
  <c r="BF22" i="9" a="1"/>
  <c r="BJ38" i="9" a="1"/>
  <c r="CA20" i="9" a="1"/>
  <c r="AK29" i="9" a="1"/>
  <c r="BN21" i="9" a="1"/>
  <c r="BH31" i="9" a="1"/>
  <c r="BZ29" i="9" a="1"/>
  <c r="BJ22" i="9" a="1"/>
  <c r="BD20" i="9" a="1"/>
  <c r="X23" i="9" a="1"/>
  <c r="I21" i="9" a="1"/>
  <c r="CL31" i="9" a="1"/>
  <c r="F37" i="9" a="1"/>
  <c r="CP38" i="9" a="1"/>
  <c r="X34" i="9" a="1"/>
  <c r="CR26" i="9" a="1"/>
  <c r="CG38" i="9" a="1"/>
  <c r="BU34" i="9" a="1"/>
  <c r="CP39" i="9" a="1"/>
  <c r="BB39" i="9" a="1"/>
  <c r="AM34" i="9" a="1"/>
  <c r="AK28" i="9" a="1"/>
  <c r="K970" i="22"/>
  <c r="AK28" i="9" l="1"/>
  <c r="AM34" i="9"/>
  <c r="BB39" i="9"/>
  <c r="CP39" i="9"/>
  <c r="BU34" i="9"/>
  <c r="CG38" i="9"/>
  <c r="DC21" i="19" s="1"/>
  <c r="CR26" i="9"/>
  <c r="X34" i="9"/>
  <c r="CP38" i="9"/>
  <c r="F37" i="9"/>
  <c r="CL31" i="9"/>
  <c r="I21" i="9"/>
  <c r="X23" i="9"/>
  <c r="BD20" i="9"/>
  <c r="BJ22" i="9"/>
  <c r="BZ29" i="9"/>
  <c r="BH31" i="9"/>
  <c r="BN21" i="9"/>
  <c r="AK29" i="9"/>
  <c r="CA20" i="9"/>
  <c r="BJ38" i="9"/>
  <c r="BF22" i="9"/>
  <c r="AH37" i="9"/>
  <c r="P37" i="9"/>
  <c r="AL20" i="19" s="1"/>
  <c r="AM26" i="9"/>
  <c r="BX31" i="9"/>
  <c r="AJ21" i="9"/>
  <c r="AD34" i="9"/>
  <c r="CK23" i="9"/>
  <c r="AP21" i="9"/>
  <c r="AD21" i="9"/>
  <c r="BM33" i="9"/>
  <c r="CI16" i="19" s="1"/>
  <c r="BX32" i="9"/>
  <c r="AK23" i="9"/>
  <c r="BT26" i="9"/>
  <c r="BG27" i="9"/>
  <c r="Q36" i="9"/>
  <c r="CB37" i="9"/>
  <c r="BL28" i="9"/>
  <c r="E23" i="9"/>
  <c r="BV21" i="9"/>
  <c r="AG36" i="9"/>
  <c r="AU30" i="9"/>
  <c r="AF33" i="9"/>
  <c r="N31" i="9"/>
  <c r="BU27" i="9"/>
  <c r="BG33" i="9"/>
  <c r="I34" i="9"/>
  <c r="AE17" i="19" s="1"/>
  <c r="G26" i="9"/>
  <c r="BL21" i="9"/>
  <c r="BP37" i="9"/>
  <c r="BA24" i="9"/>
  <c r="AK35" i="9"/>
  <c r="BX21" i="9"/>
  <c r="AB24" i="9"/>
  <c r="AA21" i="9"/>
  <c r="CO29" i="9"/>
  <c r="AX21" i="9"/>
  <c r="BY21" i="9"/>
  <c r="AS27" i="9"/>
  <c r="AL27" i="9"/>
  <c r="I29" i="9"/>
  <c r="J38" i="9"/>
  <c r="CO31" i="9"/>
  <c r="DK14" i="19" s="1"/>
  <c r="BT34" i="9"/>
  <c r="CP26" i="9"/>
  <c r="CF35" i="9"/>
  <c r="F21" i="9"/>
  <c r="AP36" i="9"/>
  <c r="CO27" i="9"/>
  <c r="F24" i="9"/>
  <c r="BU24" i="9"/>
  <c r="CQ7" i="19" s="1"/>
  <c r="AH32" i="9"/>
  <c r="CJ38" i="9"/>
  <c r="BI29" i="9"/>
  <c r="AH30" i="9"/>
  <c r="AH22" i="9"/>
  <c r="BJ33" i="9"/>
  <c r="AO20" i="9"/>
  <c r="CO38" i="9"/>
  <c r="DK21" i="19" s="1"/>
  <c r="BY23" i="9"/>
  <c r="Q22" i="9"/>
  <c r="AK22" i="9"/>
  <c r="BF28" i="9"/>
  <c r="AX22" i="9"/>
  <c r="BZ27" i="9"/>
  <c r="X26" i="9"/>
  <c r="BE26" i="9"/>
  <c r="CA9" i="19" s="1"/>
  <c r="BZ38" i="9"/>
  <c r="BG29" i="9"/>
  <c r="AV21" i="9"/>
  <c r="BP38" i="9"/>
  <c r="CM24" i="9"/>
  <c r="CM26" i="9"/>
  <c r="AF30" i="9"/>
  <c r="AC29" i="9"/>
  <c r="CD30" i="9"/>
  <c r="BM24" i="9"/>
  <c r="W20" i="9"/>
  <c r="CP33" i="9"/>
  <c r="AE20" i="9"/>
  <c r="BR20" i="9"/>
  <c r="CI33" i="9"/>
  <c r="L22" i="9"/>
  <c r="H33" i="9"/>
  <c r="CK34" i="9"/>
  <c r="BH38" i="9"/>
  <c r="CE37" i="9"/>
  <c r="AC28" i="9"/>
  <c r="CG26" i="9"/>
  <c r="DC9" i="19" s="1"/>
  <c r="AE24" i="9"/>
  <c r="BR24" i="9"/>
  <c r="CN7" i="19" s="1"/>
  <c r="AS33" i="9"/>
  <c r="CJ28" i="9"/>
  <c r="CO35" i="9"/>
  <c r="AY36" i="9"/>
  <c r="CL34" i="9"/>
  <c r="CH23" i="9"/>
  <c r="AG21" i="9"/>
  <c r="CJ29" i="9"/>
  <c r="DF12" i="19" s="1"/>
  <c r="AG38" i="9"/>
  <c r="BH34" i="9"/>
  <c r="BQ34" i="9"/>
  <c r="CA28" i="9"/>
  <c r="BX23" i="9"/>
  <c r="BE24" i="9"/>
  <c r="Y22" i="9"/>
  <c r="AI22" i="9"/>
  <c r="BY28" i="9"/>
  <c r="BI37" i="9"/>
  <c r="CF27" i="9"/>
  <c r="AJ34" i="9"/>
  <c r="V38" i="9"/>
  <c r="CL28" i="9"/>
  <c r="I20" i="9"/>
  <c r="BK30" i="9"/>
  <c r="AF37" i="9"/>
  <c r="P24" i="9"/>
  <c r="CP30" i="9"/>
  <c r="AS32" i="9"/>
  <c r="CM38" i="9"/>
  <c r="BE38" i="9"/>
  <c r="CJ34" i="9"/>
  <c r="Z20" i="9"/>
  <c r="AE33" i="9"/>
  <c r="L24" i="9"/>
  <c r="O20" i="9"/>
  <c r="AJ20" i="9"/>
  <c r="AG37" i="9"/>
  <c r="BL30" i="9"/>
  <c r="CE33" i="9"/>
  <c r="U28" i="9"/>
  <c r="AQ11" i="19" s="1"/>
  <c r="H23" i="9"/>
  <c r="AI33" i="9"/>
  <c r="Q38" i="9"/>
  <c r="V34" i="9"/>
  <c r="CC23" i="9"/>
  <c r="CO37" i="9"/>
  <c r="K20" i="9"/>
  <c r="AK32" i="9"/>
  <c r="BV39" i="9"/>
  <c r="Y32" i="9"/>
  <c r="BR35" i="9"/>
  <c r="AY34" i="9"/>
  <c r="CR35" i="9"/>
  <c r="BO32" i="9"/>
  <c r="BG20" i="9"/>
  <c r="CN30" i="9"/>
  <c r="AC36" i="9"/>
  <c r="CA26" i="9"/>
  <c r="BV32" i="9"/>
  <c r="AS29" i="9"/>
  <c r="AO23" i="9"/>
  <c r="CA33" i="9"/>
  <c r="BK24" i="9"/>
  <c r="U34" i="9"/>
  <c r="AN22" i="9"/>
  <c r="BN25" i="9"/>
  <c r="AO34" i="9"/>
  <c r="AS21" i="9"/>
  <c r="BZ20" i="9"/>
  <c r="AN32" i="9"/>
  <c r="J34" i="9"/>
  <c r="BO28" i="9"/>
  <c r="CK11" i="19" s="1"/>
  <c r="E26" i="9"/>
  <c r="BW31" i="9"/>
  <c r="L34" i="9"/>
  <c r="BO21" i="9"/>
  <c r="CL22" i="9"/>
  <c r="CJ21" i="9"/>
  <c r="AZ37" i="9"/>
  <c r="BK38" i="9"/>
  <c r="CG21" i="19" s="1"/>
  <c r="BE20" i="9"/>
  <c r="AN28" i="9"/>
  <c r="AH34" i="9"/>
  <c r="AM27" i="9"/>
  <c r="AT30" i="9"/>
  <c r="AZ30" i="9"/>
  <c r="AD24" i="9"/>
  <c r="S37" i="9"/>
  <c r="AO20" i="19" s="1"/>
  <c r="CM30" i="9"/>
  <c r="CD32" i="9"/>
  <c r="CK39" i="9"/>
  <c r="BO38" i="9"/>
  <c r="V28" i="9"/>
  <c r="AQ37" i="9"/>
  <c r="BR28" i="9"/>
  <c r="P35" i="9"/>
  <c r="AL18" i="19" s="1"/>
  <c r="K29" i="9"/>
  <c r="E31" i="9"/>
  <c r="CQ38" i="9"/>
  <c r="AM29" i="9"/>
  <c r="W23" i="9"/>
  <c r="CN31" i="9"/>
  <c r="BH30" i="9"/>
  <c r="BF39" i="9"/>
  <c r="CB22" i="19" s="1"/>
  <c r="BQ21" i="9"/>
  <c r="AF24" i="9"/>
  <c r="BP35" i="9"/>
  <c r="CD21" i="9"/>
  <c r="AD33" i="9"/>
  <c r="CJ20" i="9"/>
  <c r="AZ20" i="9"/>
  <c r="BN33" i="9"/>
  <c r="CJ16" i="19" s="1"/>
  <c r="CH25" i="9"/>
  <c r="AJ32" i="9"/>
  <c r="CL38" i="9"/>
  <c r="M30" i="9"/>
  <c r="CL26" i="9"/>
  <c r="CF20" i="9"/>
  <c r="AW24" i="9"/>
  <c r="BO23" i="9"/>
  <c r="AK24" i="9"/>
  <c r="AQ39" i="9"/>
  <c r="Z30" i="9"/>
  <c r="AV37" i="9"/>
  <c r="BZ32" i="9"/>
  <c r="BR21" i="9"/>
  <c r="BV37" i="9"/>
  <c r="AU38" i="9"/>
  <c r="J32" i="9"/>
  <c r="CK29" i="9"/>
  <c r="BF38" i="9"/>
  <c r="K31" i="9"/>
  <c r="O24" i="9"/>
  <c r="S26" i="9"/>
  <c r="CR32" i="9"/>
  <c r="AP33" i="9"/>
  <c r="BL16" i="19" s="1"/>
  <c r="G33" i="9"/>
  <c r="CK27" i="9"/>
  <c r="N23" i="9"/>
  <c r="CK20" i="9"/>
  <c r="CE32" i="9"/>
  <c r="CA22" i="9"/>
  <c r="AE29" i="9"/>
  <c r="Q31" i="9"/>
  <c r="AM14" i="19" s="1"/>
  <c r="T21" i="9"/>
  <c r="BG39" i="9"/>
  <c r="K21" i="9"/>
  <c r="S39" i="9"/>
  <c r="AP29" i="9"/>
  <c r="AJ35" i="9"/>
  <c r="CR36" i="9"/>
  <c r="S22" i="9"/>
  <c r="AT33" i="9"/>
  <c r="AN21" i="9"/>
  <c r="O22" i="9"/>
  <c r="Q20" i="9"/>
  <c r="J31" i="9"/>
  <c r="AN38" i="9"/>
  <c r="AH24" i="9"/>
  <c r="CE36" i="9"/>
  <c r="DA19" i="19" s="1"/>
  <c r="BE21" i="9"/>
  <c r="BH26" i="9"/>
  <c r="G22" i="9"/>
  <c r="H30" i="9"/>
  <c r="BD30" i="9"/>
  <c r="BH37" i="9"/>
  <c r="F31" i="9"/>
  <c r="K14" i="5"/>
  <c r="BP29" i="9"/>
  <c r="BM30" i="9"/>
  <c r="AR29" i="9"/>
  <c r="O38" i="9"/>
  <c r="Y38" i="9"/>
  <c r="AF36" i="9"/>
  <c r="BG37" i="9"/>
  <c r="CN26" i="9"/>
  <c r="CI34" i="9"/>
  <c r="BL33" i="9"/>
  <c r="BY20" i="9"/>
  <c r="F25" i="9"/>
  <c r="AT20" i="9"/>
  <c r="AQ31" i="9"/>
  <c r="CR28" i="9"/>
  <c r="Y28" i="9"/>
  <c r="AU11" i="19" s="1"/>
  <c r="BH28" i="9"/>
  <c r="AQ27" i="9"/>
  <c r="AM20" i="9"/>
  <c r="BX33" i="9"/>
  <c r="CJ33" i="9"/>
  <c r="W22" i="9"/>
  <c r="U37" i="9"/>
  <c r="AW23" i="9"/>
  <c r="T27" i="9"/>
  <c r="AA37" i="9"/>
  <c r="BJ35" i="9"/>
  <c r="BZ35" i="9"/>
  <c r="AQ35" i="9"/>
  <c r="Q32" i="9"/>
  <c r="BN30" i="9"/>
  <c r="Q33" i="9"/>
  <c r="AM16" i="19" s="1"/>
  <c r="G24" i="9"/>
  <c r="M37" i="9"/>
  <c r="AX32" i="9"/>
  <c r="BC30" i="9"/>
  <c r="Z33" i="9"/>
  <c r="S33" i="9"/>
  <c r="BO35" i="9"/>
  <c r="L29" i="9"/>
  <c r="AH12" i="19" s="1"/>
  <c r="CP37" i="9"/>
  <c r="AO38" i="9"/>
  <c r="CA30" i="9"/>
  <c r="BP33" i="9"/>
  <c r="BT25" i="9"/>
  <c r="CR37" i="9"/>
  <c r="BA27" i="9"/>
  <c r="CD20" i="9"/>
  <c r="T30" i="9"/>
  <c r="BL23" i="9"/>
  <c r="T20" i="9"/>
  <c r="AZ39" i="9"/>
  <c r="AC23" i="9"/>
  <c r="J24" i="9"/>
  <c r="AF25" i="9"/>
  <c r="AC21" i="9"/>
  <c r="BB26" i="9"/>
  <c r="BA34" i="9"/>
  <c r="J20" i="9"/>
  <c r="AG23" i="9"/>
  <c r="BJ28" i="9"/>
  <c r="CG34" i="9"/>
  <c r="DC17" i="19" s="1"/>
  <c r="AZ32" i="9"/>
  <c r="AR36" i="9"/>
  <c r="T28" i="9"/>
  <c r="AV36" i="9"/>
  <c r="CC29" i="9"/>
  <c r="CD29" i="9"/>
  <c r="CM34" i="9"/>
  <c r="BI20" i="9"/>
  <c r="BM20" i="9"/>
  <c r="BB27" i="9"/>
  <c r="BX10" i="19" s="1"/>
  <c r="AN39" i="9"/>
  <c r="H25" i="9"/>
  <c r="Q26" i="9"/>
  <c r="R31" i="9"/>
  <c r="BW25" i="9"/>
  <c r="BA29" i="9"/>
  <c r="BC34" i="9"/>
  <c r="CI23" i="9"/>
  <c r="CK25" i="9"/>
  <c r="X30" i="9"/>
  <c r="CN21" i="9"/>
  <c r="AU31" i="9"/>
  <c r="BK23" i="9"/>
  <c r="CH29" i="9"/>
  <c r="CG23" i="9"/>
  <c r="DC6" i="19" s="1"/>
  <c r="AX33" i="9"/>
  <c r="BT16" i="19" s="1"/>
  <c r="BY25" i="9"/>
  <c r="X20" i="9"/>
  <c r="BA26" i="9"/>
  <c r="AG35" i="9"/>
  <c r="T39" i="9"/>
  <c r="J23" i="9"/>
  <c r="AY21" i="9"/>
  <c r="AU39" i="9"/>
  <c r="BQ22" i="19" s="1"/>
  <c r="T37" i="9"/>
  <c r="W36" i="9"/>
  <c r="AD20" i="9"/>
  <c r="BD24" i="9"/>
  <c r="CQ27" i="9"/>
  <c r="BI21" i="9"/>
  <c r="CC26" i="9"/>
  <c r="AM21" i="9"/>
  <c r="CL20" i="9"/>
  <c r="BS25" i="9"/>
  <c r="BE34" i="9"/>
  <c r="AB20" i="9"/>
  <c r="BU21" i="9"/>
  <c r="BM26" i="9"/>
  <c r="N29" i="9"/>
  <c r="AN30" i="9"/>
  <c r="BJ13" i="19" s="1"/>
  <c r="BF29" i="9"/>
  <c r="AP34" i="9"/>
  <c r="CL30" i="9"/>
  <c r="BE33" i="9"/>
  <c r="BA37" i="9"/>
  <c r="Y20" i="9"/>
  <c r="BW21" i="9"/>
  <c r="BQ30" i="9"/>
  <c r="CM13" i="19" s="1"/>
  <c r="E37" i="9"/>
  <c r="CQ35" i="9"/>
  <c r="BJ25" i="9"/>
  <c r="BM39" i="9"/>
  <c r="AV39" i="9"/>
  <c r="S30" i="9"/>
  <c r="M28" i="9"/>
  <c r="W37" i="9"/>
  <c r="AS20" i="19" s="1"/>
  <c r="AF22" i="9"/>
  <c r="AB29" i="9"/>
  <c r="AL20" i="9"/>
  <c r="CL29" i="9"/>
  <c r="AB36" i="9"/>
  <c r="M34" i="9"/>
  <c r="AI34" i="9"/>
  <c r="R34" i="9"/>
  <c r="AN17" i="19" s="1"/>
  <c r="AW30" i="9"/>
  <c r="BH39" i="9"/>
  <c r="AC37" i="9"/>
  <c r="AD37" i="9"/>
  <c r="BL22" i="9"/>
  <c r="CL39" i="9"/>
  <c r="CA36" i="9"/>
  <c r="AN24" i="9"/>
  <c r="BJ7" i="19" s="1"/>
  <c r="AN20" i="9"/>
  <c r="BF35" i="9"/>
  <c r="P38" i="9"/>
  <c r="BK22" i="9"/>
  <c r="AW33" i="9"/>
  <c r="Y21" i="9"/>
  <c r="BZ22" i="9"/>
  <c r="BU37" i="9"/>
  <c r="CQ20" i="19" s="1"/>
  <c r="L25" i="9"/>
  <c r="X39" i="9"/>
  <c r="BZ25" i="9"/>
  <c r="AL22" i="9"/>
  <c r="BJ36" i="9"/>
  <c r="AE39" i="9"/>
  <c r="Z37" i="9"/>
  <c r="K34" i="9"/>
  <c r="AG17" i="19" s="1"/>
  <c r="CI25" i="9"/>
  <c r="AH25" i="9"/>
  <c r="BM38" i="9"/>
  <c r="AL38" i="9"/>
  <c r="V30" i="9"/>
  <c r="W38" i="9"/>
  <c r="CP34" i="9"/>
  <c r="BS21" i="9"/>
  <c r="BQ37" i="9"/>
  <c r="M22" i="9"/>
  <c r="AW22" i="9"/>
  <c r="BB21" i="9"/>
  <c r="BM21" i="9"/>
  <c r="I25" i="9"/>
  <c r="BI25" i="9"/>
  <c r="AI25" i="9"/>
  <c r="BE8" i="19" s="1"/>
  <c r="AN23" i="9"/>
  <c r="AV34" i="9"/>
  <c r="CI24" i="9"/>
  <c r="AD38" i="9"/>
  <c r="BP27" i="9"/>
  <c r="AI24" i="9"/>
  <c r="M21" i="9"/>
  <c r="CC38" i="9"/>
  <c r="CY21" i="19" s="1"/>
  <c r="CE30" i="9"/>
  <c r="BB24" i="9"/>
  <c r="BX20" i="9"/>
  <c r="AO28" i="9"/>
  <c r="AU20" i="9"/>
  <c r="BC38" i="9"/>
  <c r="AX39" i="9"/>
  <c r="CG30" i="9"/>
  <c r="DC13" i="19" s="1"/>
  <c r="CQ24" i="9"/>
  <c r="BU26" i="9"/>
  <c r="AS28" i="9"/>
  <c r="H21" i="9"/>
  <c r="BM28" i="9"/>
  <c r="U36" i="9"/>
  <c r="BW34" i="9"/>
  <c r="BN22" i="9"/>
  <c r="CB20" i="9"/>
  <c r="CI39" i="9"/>
  <c r="AY30" i="9"/>
  <c r="AD25" i="9"/>
  <c r="AY25" i="9"/>
  <c r="CI26" i="9"/>
  <c r="E33" i="9"/>
  <c r="AJ23" i="9"/>
  <c r="BT30" i="9"/>
  <c r="AL30" i="9"/>
  <c r="E35" i="9"/>
  <c r="BL32" i="9"/>
  <c r="Q37" i="9"/>
  <c r="R21" i="9"/>
  <c r="CI21" i="9"/>
  <c r="CM28" i="9"/>
  <c r="DI11" i="19" s="1"/>
  <c r="CF34" i="9"/>
  <c r="AX26" i="9"/>
  <c r="W35" i="9"/>
  <c r="AF39" i="9"/>
  <c r="E20" i="9"/>
  <c r="L37" i="9"/>
  <c r="CQ37" i="9"/>
  <c r="AO21" i="9"/>
  <c r="K37" i="9"/>
  <c r="M29" i="9"/>
  <c r="BY32" i="9"/>
  <c r="BF33" i="9"/>
  <c r="U21" i="9"/>
  <c r="Z21" i="9"/>
  <c r="Z25" i="9"/>
  <c r="W26" i="9"/>
  <c r="AS9" i="19" s="1"/>
  <c r="CF30" i="9"/>
  <c r="W29" i="9"/>
  <c r="AH23" i="9"/>
  <c r="BT22" i="9"/>
  <c r="AU33" i="9"/>
  <c r="AV33" i="9"/>
  <c r="BK20" i="9"/>
  <c r="AW29" i="9"/>
  <c r="BS12" i="19" s="1"/>
  <c r="AE38" i="9"/>
  <c r="O31" i="9"/>
  <c r="AH36" i="9"/>
  <c r="T33" i="9"/>
  <c r="CN24" i="9"/>
  <c r="AA25" i="9"/>
  <c r="AP38" i="9"/>
  <c r="BC37" i="9"/>
  <c r="BY20" i="19" s="1"/>
  <c r="O32" i="9"/>
  <c r="CC34" i="9"/>
  <c r="AO37" i="9"/>
  <c r="BZ31" i="9"/>
  <c r="CH24" i="9"/>
  <c r="CD28" i="9"/>
  <c r="R29" i="9"/>
  <c r="AB21" i="9"/>
  <c r="CI36" i="9"/>
  <c r="Q39" i="9"/>
  <c r="CO21" i="9"/>
  <c r="S28" i="9"/>
  <c r="AG30" i="9"/>
  <c r="AF21" i="9"/>
  <c r="CD24" i="9"/>
  <c r="BK21" i="9"/>
  <c r="N36" i="9"/>
  <c r="BQ35" i="9"/>
  <c r="AB30" i="9"/>
  <c r="BQ27" i="9"/>
  <c r="I35" i="9"/>
  <c r="AA32" i="9"/>
  <c r="AE21" i="9"/>
  <c r="BW23" i="9"/>
  <c r="CP28" i="9"/>
  <c r="CO25" i="9"/>
  <c r="F23" i="9"/>
  <c r="CM23" i="9"/>
  <c r="BV29" i="9"/>
  <c r="AQ25" i="9"/>
  <c r="CM32" i="9"/>
  <c r="CI20" i="9"/>
  <c r="AM22" i="9"/>
  <c r="AB35" i="9"/>
  <c r="M39" i="9"/>
  <c r="AV31" i="9"/>
  <c r="K24" i="9"/>
  <c r="W25" i="9"/>
  <c r="CD26" i="9"/>
  <c r="BY26" i="9"/>
  <c r="CU9" i="19" s="1"/>
  <c r="AC25" i="9"/>
  <c r="I26" i="9"/>
  <c r="BR29" i="9"/>
  <c r="AO33" i="9"/>
  <c r="S34" i="9"/>
  <c r="BS32" i="9"/>
  <c r="F34" i="9"/>
  <c r="AF29" i="9"/>
  <c r="BB12" i="19" s="1"/>
  <c r="CR30" i="9"/>
  <c r="AC35" i="9"/>
  <c r="AE23" i="9"/>
  <c r="X31" i="9"/>
  <c r="AK31" i="9"/>
  <c r="AL37" i="9"/>
  <c r="AS23" i="9"/>
  <c r="BZ26" i="9"/>
  <c r="CV9" i="19" s="1"/>
  <c r="CA27" i="9"/>
  <c r="H26" i="9"/>
  <c r="CD27" i="9"/>
  <c r="AX27" i="9"/>
  <c r="Z27" i="9"/>
  <c r="X24" i="9"/>
  <c r="AS22" i="9"/>
  <c r="BM36" i="9"/>
  <c r="AA26" i="9"/>
  <c r="BF20" i="9"/>
  <c r="BY37" i="9"/>
  <c r="AN29" i="9"/>
  <c r="AY38" i="9"/>
  <c r="AV35" i="9"/>
  <c r="U30" i="9"/>
  <c r="BG22" i="9"/>
  <c r="Q29" i="9"/>
  <c r="BT37" i="9"/>
  <c r="CR22" i="9"/>
  <c r="BN37" i="9"/>
  <c r="N33" i="9"/>
  <c r="AJ29" i="9"/>
  <c r="AK37" i="9"/>
  <c r="AG29" i="9"/>
  <c r="BC12" i="19" s="1"/>
  <c r="P33" i="9"/>
  <c r="AB37" i="9"/>
  <c r="AR31" i="9"/>
  <c r="Z28" i="9"/>
  <c r="BC28" i="9"/>
  <c r="BM25" i="9"/>
  <c r="BK26" i="9"/>
  <c r="AO26" i="9"/>
  <c r="BK9" i="19" s="1"/>
  <c r="CB36" i="9"/>
  <c r="BZ24" i="9"/>
  <c r="H31" i="9"/>
  <c r="BS20" i="9"/>
  <c r="BO29" i="9"/>
  <c r="CD37" i="9"/>
  <c r="CL35" i="9"/>
  <c r="AI21" i="9"/>
  <c r="AC24" i="9"/>
  <c r="AF26" i="9"/>
  <c r="AI29" i="9"/>
  <c r="V39" i="9"/>
  <c r="Q30" i="9"/>
  <c r="T22" i="9"/>
  <c r="AA34" i="9"/>
  <c r="CJ39" i="9"/>
  <c r="AX29" i="9"/>
  <c r="CH33" i="9"/>
  <c r="AI20" i="9"/>
  <c r="CD34" i="9"/>
  <c r="L30" i="9"/>
  <c r="AH31" i="9"/>
  <c r="BF37" i="9"/>
  <c r="G21" i="9"/>
  <c r="O37" i="9"/>
  <c r="AL29" i="9"/>
  <c r="CM25" i="9"/>
  <c r="I39" i="9"/>
  <c r="AO27" i="9"/>
  <c r="BS31" i="9"/>
  <c r="CH34" i="9"/>
  <c r="AS30" i="9"/>
  <c r="BO13" i="19" s="1"/>
  <c r="AA28" i="9"/>
  <c r="CH37" i="9"/>
  <c r="AK36" i="9"/>
  <c r="BD25" i="9"/>
  <c r="CC37" i="9"/>
  <c r="BQ23" i="9"/>
  <c r="X32" i="9"/>
  <c r="AM33" i="9"/>
  <c r="BI16" i="19" s="1"/>
  <c r="K23" i="9"/>
  <c r="AG25" i="9"/>
  <c r="Q34" i="9"/>
  <c r="CK24" i="9"/>
  <c r="AQ34" i="9"/>
  <c r="AR38" i="9"/>
  <c r="CK31" i="9"/>
  <c r="R25" i="9"/>
  <c r="AN8" i="19" s="1"/>
  <c r="AE30" i="9"/>
  <c r="AH20" i="9"/>
  <c r="BF25" i="9"/>
  <c r="CL33" i="9"/>
  <c r="AO22" i="9"/>
  <c r="BD32" i="9"/>
  <c r="W39" i="9"/>
  <c r="CP20" i="9"/>
  <c r="AH21" i="9"/>
  <c r="E27" i="9"/>
  <c r="BJ27" i="9"/>
  <c r="BN24" i="9"/>
  <c r="U26" i="9"/>
  <c r="BI27" i="9"/>
  <c r="G34" i="9"/>
  <c r="CD23" i="9"/>
  <c r="AV22" i="9"/>
  <c r="BT21" i="9"/>
  <c r="AI31" i="9"/>
  <c r="BG23" i="9"/>
  <c r="Q27" i="9"/>
  <c r="K27" i="9"/>
  <c r="AT28" i="9"/>
  <c r="CF23" i="9"/>
  <c r="AX30" i="9"/>
  <c r="CM39" i="9"/>
  <c r="CL27" i="9"/>
  <c r="CA25" i="9"/>
  <c r="K36" i="9"/>
  <c r="P22" i="9"/>
  <c r="CK38" i="9"/>
  <c r="BS36" i="9"/>
  <c r="CO19" i="19" s="1"/>
  <c r="AY31" i="9"/>
  <c r="BX38" i="9"/>
  <c r="BN32" i="9"/>
  <c r="CA29" i="9"/>
  <c r="X38" i="9"/>
  <c r="AT24" i="9"/>
  <c r="BJ37" i="9"/>
  <c r="CQ32" i="9"/>
  <c r="DM15" i="19" s="1"/>
  <c r="CC35" i="9"/>
  <c r="CH26" i="9"/>
  <c r="X33" i="9"/>
  <c r="AX34" i="9"/>
  <c r="BW38" i="9"/>
  <c r="Z22" i="9"/>
  <c r="CQ34" i="9"/>
  <c r="BC32" i="9"/>
  <c r="BY15" i="19" s="1"/>
  <c r="AT22" i="9"/>
  <c r="AH27" i="9"/>
  <c r="BS34" i="9"/>
  <c r="BL20" i="9"/>
  <c r="O33" i="9"/>
  <c r="BZ36" i="9"/>
  <c r="BP34" i="9"/>
  <c r="BC22" i="9"/>
  <c r="CN34" i="9"/>
  <c r="AA20" i="9"/>
  <c r="BC24" i="9"/>
  <c r="Q24" i="9"/>
  <c r="AO35" i="9"/>
  <c r="CK21" i="9"/>
  <c r="BS33" i="9"/>
  <c r="AT35" i="9"/>
  <c r="AB34" i="9"/>
  <c r="O29" i="9"/>
  <c r="AR34" i="9"/>
  <c r="CD36" i="9"/>
  <c r="CA38" i="9"/>
  <c r="AV26" i="9"/>
  <c r="AD27" i="9"/>
  <c r="BQ31" i="9"/>
  <c r="CM14" i="19" s="1"/>
  <c r="BQ38" i="9"/>
  <c r="CG39" i="9"/>
  <c r="DC22" i="19" s="1"/>
  <c r="AF28" i="9"/>
  <c r="M36" i="9"/>
  <c r="BG38" i="9"/>
  <c r="CI29" i="9"/>
  <c r="S27" i="9"/>
  <c r="BN23" i="9"/>
  <c r="CE27" i="9"/>
  <c r="H20" i="9"/>
  <c r="R33" i="9"/>
  <c r="AD26" i="9"/>
  <c r="BF36" i="9"/>
  <c r="CO30" i="9"/>
  <c r="CL37" i="9"/>
  <c r="BQ26" i="9"/>
  <c r="BJ32" i="9"/>
  <c r="AT34" i="9"/>
  <c r="W30" i="9"/>
  <c r="AZ38" i="9"/>
  <c r="AQ22" i="9"/>
  <c r="X36" i="9"/>
  <c r="BC36" i="9"/>
  <c r="CA37" i="9"/>
  <c r="CW20" i="19" s="1"/>
  <c r="M25" i="9"/>
  <c r="AW27" i="9"/>
  <c r="AT29" i="9"/>
  <c r="BJ21" i="9"/>
  <c r="BS26" i="9"/>
  <c r="AT38" i="9"/>
  <c r="CQ25" i="9"/>
  <c r="K14" i="15"/>
  <c r="H34" i="9"/>
  <c r="BP32" i="9"/>
  <c r="AG33" i="9"/>
  <c r="BU25" i="9"/>
  <c r="BF21" i="9"/>
  <c r="Y23" i="9"/>
  <c r="AS25" i="9"/>
  <c r="BD28" i="9"/>
  <c r="BZ11" i="19" s="1"/>
  <c r="AR33" i="9"/>
  <c r="AP32" i="9"/>
  <c r="Z39" i="9"/>
  <c r="AF38" i="9"/>
  <c r="Z29" i="9"/>
  <c r="X21" i="9"/>
  <c r="BB25" i="9"/>
  <c r="CG21" i="9"/>
  <c r="DC4" i="19" s="1"/>
  <c r="BB29" i="9"/>
  <c r="CQ21" i="9"/>
  <c r="M23" i="9"/>
  <c r="AR21" i="9"/>
  <c r="P39" i="9"/>
  <c r="CD25" i="9"/>
  <c r="BY22" i="9"/>
  <c r="BP22" i="9"/>
  <c r="BH25" i="9"/>
  <c r="AE36" i="9"/>
  <c r="AK30" i="9"/>
  <c r="CB30" i="9"/>
  <c r="BE36" i="9"/>
  <c r="BP31" i="9"/>
  <c r="U39" i="9"/>
  <c r="CK30" i="9"/>
  <c r="DG13" i="19" s="1"/>
  <c r="AZ31" i="9"/>
  <c r="BD35" i="9"/>
  <c r="AL23" i="9"/>
  <c r="AB38" i="9"/>
  <c r="AO36" i="9"/>
  <c r="AX20" i="9"/>
  <c r="CB25" i="9"/>
  <c r="I33" i="9"/>
  <c r="AE16" i="19" s="1"/>
  <c r="AE28" i="9"/>
  <c r="BP30" i="9"/>
  <c r="BO34" i="9"/>
  <c r="BK36" i="9"/>
  <c r="G35" i="9"/>
  <c r="CF28" i="9"/>
  <c r="BP23" i="9"/>
  <c r="BY33" i="9"/>
  <c r="BA21" i="9"/>
  <c r="BL37" i="9"/>
  <c r="I24" i="9"/>
  <c r="BF26" i="9"/>
  <c r="BJ31" i="9"/>
  <c r="CD33" i="9"/>
  <c r="BI22" i="9"/>
  <c r="AG31" i="9"/>
  <c r="BC14" i="19" s="1"/>
  <c r="BG35" i="9"/>
  <c r="BU31" i="9"/>
  <c r="AY28" i="9"/>
  <c r="BU28" i="9"/>
  <c r="W31" i="9"/>
  <c r="BK35" i="9"/>
  <c r="AQ26" i="9"/>
  <c r="BK28" i="9"/>
  <c r="BT35" i="9"/>
  <c r="AU27" i="9"/>
  <c r="BK29" i="9"/>
  <c r="CH20" i="9"/>
  <c r="CR38" i="9"/>
  <c r="CO24" i="9"/>
  <c r="AZ21" i="9"/>
  <c r="AR30" i="9"/>
  <c r="BN13" i="19" s="1"/>
  <c r="CL25" i="9"/>
  <c r="S20" i="9"/>
  <c r="AA36" i="9"/>
  <c r="AB25" i="9"/>
  <c r="BX30" i="9"/>
  <c r="AA23" i="9"/>
  <c r="AQ33" i="9"/>
  <c r="BQ25" i="9"/>
  <c r="CM8" i="19" s="1"/>
  <c r="AI26" i="9"/>
  <c r="BA36" i="9"/>
  <c r="AR35" i="9"/>
  <c r="CB24" i="9"/>
  <c r="G37" i="9"/>
  <c r="BH35" i="9"/>
  <c r="F39" i="9"/>
  <c r="S31" i="9"/>
  <c r="AO14" i="19" s="1"/>
  <c r="CF39" i="9"/>
  <c r="AK20" i="9"/>
  <c r="AF23" i="9"/>
  <c r="BT29" i="9"/>
  <c r="BH32" i="9"/>
  <c r="Y31" i="9"/>
  <c r="CI22" i="9"/>
  <c r="CH22" i="9"/>
  <c r="CB29" i="9"/>
  <c r="G23" i="9"/>
  <c r="CM20" i="9"/>
  <c r="AE27" i="9"/>
  <c r="BD21" i="9"/>
  <c r="BL27" i="9"/>
  <c r="AM30" i="9"/>
  <c r="CO33" i="9"/>
  <c r="DK16" i="19" s="1"/>
  <c r="AZ36" i="9"/>
  <c r="AL32" i="9"/>
  <c r="AW32" i="9"/>
  <c r="CB39" i="9"/>
  <c r="R23" i="9"/>
  <c r="BV33" i="9"/>
  <c r="BV22" i="9"/>
  <c r="BV28" i="9"/>
  <c r="CR11" i="19" s="1"/>
  <c r="BX35" i="9"/>
  <c r="BD39" i="9"/>
  <c r="AS31" i="9"/>
  <c r="BU32" i="9"/>
  <c r="AT26" i="9"/>
  <c r="P32" i="9"/>
  <c r="E39" i="9"/>
  <c r="BC20" i="9"/>
  <c r="AU28" i="9"/>
  <c r="F36" i="9"/>
  <c r="BC21" i="9"/>
  <c r="CG27" i="9"/>
  <c r="DC10" i="19" s="1"/>
  <c r="Z23" i="9"/>
  <c r="AW26" i="9"/>
  <c r="CC36" i="9"/>
  <c r="BW36" i="9"/>
  <c r="CS19" i="19" s="1"/>
  <c r="BE27" i="9"/>
  <c r="CN38" i="9"/>
  <c r="E29" i="9"/>
  <c r="V33" i="9"/>
  <c r="AE37" i="9"/>
  <c r="AT23" i="9"/>
  <c r="AR23" i="9"/>
  <c r="CI30" i="9"/>
  <c r="DE13" i="19" s="1"/>
  <c r="O28" i="9"/>
  <c r="P28" i="9"/>
  <c r="BV20" i="9"/>
  <c r="X35" i="9"/>
  <c r="AP27" i="9"/>
  <c r="CM27" i="9"/>
  <c r="AY35" i="9"/>
  <c r="AW21" i="9"/>
  <c r="AL21" i="9"/>
  <c r="AI30" i="9"/>
  <c r="CB35" i="9"/>
  <c r="Q28" i="9"/>
  <c r="F30" i="9"/>
  <c r="CN22" i="9"/>
  <c r="AS34" i="9"/>
  <c r="AJ33" i="9"/>
  <c r="BF16" i="19" s="1"/>
  <c r="BO22" i="9"/>
  <c r="CE25" i="9"/>
  <c r="AL24" i="9"/>
  <c r="AV25" i="9"/>
  <c r="BY38" i="9"/>
  <c r="CF25" i="9"/>
  <c r="Y34" i="9"/>
  <c r="BE32" i="9"/>
  <c r="BA25" i="9"/>
  <c r="BI34" i="9"/>
  <c r="AC20" i="9"/>
  <c r="BB22" i="9"/>
  <c r="CJ37" i="9"/>
  <c r="BM37" i="9"/>
  <c r="BA35" i="9"/>
  <c r="AP26" i="9"/>
  <c r="BL9" i="19" s="1"/>
  <c r="Y29" i="9"/>
  <c r="G27" i="9"/>
  <c r="AU21" i="9"/>
  <c r="AZ22" i="9"/>
  <c r="AG39" i="9"/>
  <c r="T26" i="9"/>
  <c r="BB37" i="9"/>
  <c r="BH23" i="9"/>
  <c r="L38" i="9"/>
  <c r="CG22" i="9"/>
  <c r="DC5" i="19" s="1"/>
  <c r="CB23" i="9"/>
  <c r="K33" i="9"/>
  <c r="BW24" i="9"/>
  <c r="BU20" i="9"/>
  <c r="Q21" i="9"/>
  <c r="AY24" i="9"/>
  <c r="BU7" i="19" s="1"/>
  <c r="W21" i="9"/>
  <c r="BZ21" i="9"/>
  <c r="AW36" i="9"/>
  <c r="AD32" i="9"/>
  <c r="AE22" i="9"/>
  <c r="BN36" i="9"/>
  <c r="BT27" i="9"/>
  <c r="S29" i="9"/>
  <c r="AO12" i="19" s="1"/>
  <c r="CI38" i="9"/>
  <c r="AH38" i="9"/>
  <c r="CR29" i="9"/>
  <c r="AV29" i="9"/>
  <c r="F32" i="9"/>
  <c r="T34" i="9"/>
  <c r="P25" i="9"/>
  <c r="BR37" i="9"/>
  <c r="CN20" i="19" s="1"/>
  <c r="CO36" i="9"/>
  <c r="AU23" i="9"/>
  <c r="BW22" i="9"/>
  <c r="K38" i="9"/>
  <c r="AK34" i="9"/>
  <c r="O34" i="9"/>
  <c r="CM21" i="9"/>
  <c r="CI27" i="9"/>
  <c r="DE10" i="19" s="1"/>
  <c r="AN25" i="9"/>
  <c r="BH21" i="9"/>
  <c r="U32" i="9"/>
  <c r="V29" i="9"/>
  <c r="O39" i="9"/>
  <c r="AW28" i="9"/>
  <c r="CA24" i="9"/>
  <c r="AG20" i="9"/>
  <c r="CP25" i="9"/>
  <c r="CN28" i="9"/>
  <c r="AU26" i="9"/>
  <c r="M38" i="9"/>
  <c r="BD36" i="9"/>
  <c r="AB27" i="9"/>
  <c r="R28" i="9"/>
  <c r="AV27" i="9"/>
  <c r="BR10" i="19" s="1"/>
  <c r="X37" i="9"/>
  <c r="AA38" i="9"/>
  <c r="AU22" i="9"/>
  <c r="CK28" i="9"/>
  <c r="BW35" i="9"/>
  <c r="CL36" i="9"/>
  <c r="I37" i="9"/>
  <c r="BB34" i="9"/>
  <c r="BX17" i="19" s="1"/>
  <c r="AT27" i="9"/>
  <c r="BB20" i="9"/>
  <c r="U29" i="9"/>
  <c r="CJ31" i="9"/>
  <c r="BP20" i="9"/>
  <c r="CB26" i="9"/>
  <c r="BI31" i="9"/>
  <c r="AA33" i="9"/>
  <c r="AW16" i="19" s="1"/>
  <c r="S25" i="9"/>
  <c r="H24" i="9"/>
  <c r="P36" i="9"/>
  <c r="BJ34" i="9"/>
  <c r="BS39" i="9"/>
  <c r="BO26" i="9"/>
  <c r="AG32" i="9"/>
  <c r="AG34" i="9"/>
  <c r="BC17" i="19" s="1"/>
  <c r="BX26" i="9"/>
  <c r="BB30" i="9"/>
  <c r="CD35" i="9"/>
  <c r="BN26" i="9"/>
  <c r="AF34" i="9"/>
  <c r="BR38" i="9"/>
  <c r="CC21" i="9"/>
  <c r="AR26" i="9"/>
  <c r="BN9" i="19" s="1"/>
  <c r="AA30" i="9"/>
  <c r="CN37" i="9"/>
  <c r="CO39" i="9"/>
  <c r="AH39" i="9"/>
  <c r="CG35" i="9"/>
  <c r="DC18" i="19" s="1"/>
  <c r="AR20" i="9"/>
  <c r="BS35" i="9"/>
  <c r="BU23" i="9"/>
  <c r="P21" i="9"/>
  <c r="BU35" i="9"/>
  <c r="CC28" i="9"/>
  <c r="BE39" i="9"/>
  <c r="BL26" i="9"/>
  <c r="CC24" i="9"/>
  <c r="AY20" i="9"/>
  <c r="L39" i="9"/>
  <c r="AH22" i="19" s="1"/>
  <c r="BN20" i="9"/>
  <c r="AK21" i="9"/>
  <c r="BK32" i="9"/>
  <c r="BT38" i="9"/>
  <c r="AO29" i="9"/>
  <c r="CE24" i="9"/>
  <c r="BB38" i="9"/>
  <c r="BP25" i="9"/>
  <c r="CL8" i="19" s="1"/>
  <c r="BE30" i="9"/>
  <c r="BV31" i="9"/>
  <c r="CD31" i="9"/>
  <c r="CC22" i="9"/>
  <c r="O36" i="9"/>
  <c r="P20" i="9"/>
  <c r="AS24" i="9"/>
  <c r="V21" i="9"/>
  <c r="CP23" i="9"/>
  <c r="BR30" i="9"/>
  <c r="E38" i="9"/>
  <c r="AL39" i="9"/>
  <c r="AK26" i="9"/>
  <c r="BQ32" i="9"/>
  <c r="J25" i="9"/>
  <c r="BW29" i="9"/>
  <c r="CS12" i="19" s="1"/>
  <c r="BE31" i="9"/>
  <c r="CC25" i="9"/>
  <c r="BM29" i="9"/>
  <c r="BB31" i="9"/>
  <c r="CA34" i="9"/>
  <c r="AN36" i="9"/>
  <c r="BS37" i="9"/>
  <c r="CE38" i="9"/>
  <c r="DA21" i="19" s="1"/>
  <c r="BV36" i="9"/>
  <c r="BX39" i="9"/>
  <c r="AU25" i="9"/>
  <c r="F29" i="9"/>
  <c r="BQ33" i="9"/>
  <c r="AE34" i="9"/>
  <c r="BT39" i="9"/>
  <c r="T38" i="9"/>
  <c r="AP21" i="19" s="1"/>
  <c r="J21" i="9"/>
  <c r="AT39" i="9"/>
  <c r="BN38" i="9"/>
  <c r="AV38" i="9"/>
  <c r="BL39" i="9"/>
  <c r="N27" i="9"/>
  <c r="AC27" i="9"/>
  <c r="AA39" i="9"/>
  <c r="AW22" i="19" s="1"/>
  <c r="BS23" i="9"/>
  <c r="AK38" i="9"/>
  <c r="AS37" i="9"/>
  <c r="BV25" i="9"/>
  <c r="Y27" i="9"/>
  <c r="AF31" i="9"/>
  <c r="L26" i="9"/>
  <c r="AW35" i="9"/>
  <c r="BS18" i="19" s="1"/>
  <c r="G36" i="9"/>
  <c r="K26" i="9"/>
  <c r="F35" i="9"/>
  <c r="BK37" i="9"/>
  <c r="X25" i="9"/>
  <c r="CH35" i="9"/>
  <c r="BQ28" i="9"/>
  <c r="CC30" i="9"/>
  <c r="CY13" i="19" s="1"/>
  <c r="BB36" i="9"/>
  <c r="BB35" i="9"/>
  <c r="BH29" i="9"/>
  <c r="CQ36" i="9"/>
  <c r="CC32" i="9"/>
  <c r="AA31" i="9"/>
  <c r="BC33" i="9"/>
  <c r="W28" i="9"/>
  <c r="AS11" i="19" s="1"/>
  <c r="BO37" i="9"/>
  <c r="CO28" i="9"/>
  <c r="AN27" i="9"/>
  <c r="CN36" i="9"/>
  <c r="I27" i="9"/>
  <c r="BQ39" i="9"/>
  <c r="AB33" i="9"/>
  <c r="BS29" i="9"/>
  <c r="CO12" i="19" s="1"/>
  <c r="AJ30" i="9"/>
  <c r="CP36" i="9"/>
  <c r="CB27" i="9"/>
  <c r="BN39" i="9"/>
  <c r="AQ30" i="9"/>
  <c r="N37" i="9"/>
  <c r="BE29" i="9"/>
  <c r="BG32" i="9"/>
  <c r="CC15" i="19" s="1"/>
  <c r="AL28" i="9"/>
  <c r="U38" i="9"/>
  <c r="AL35" i="9"/>
  <c r="J39" i="9"/>
  <c r="M33" i="9"/>
  <c r="I31" i="9"/>
  <c r="O27" i="9"/>
  <c r="AD36" i="9"/>
  <c r="AZ19" i="19" s="1"/>
  <c r="BR34" i="9"/>
  <c r="CL21" i="9"/>
  <c r="R24" i="9"/>
  <c r="AO30" i="9"/>
  <c r="CA21" i="9"/>
  <c r="AN37" i="9"/>
  <c r="AA27" i="9"/>
  <c r="BN35" i="9"/>
  <c r="CJ18" i="19" s="1"/>
  <c r="E21" i="9"/>
  <c r="BG25" i="9"/>
  <c r="AT37" i="9"/>
  <c r="BV38" i="9"/>
  <c r="R20" i="9"/>
  <c r="AZ33" i="9"/>
  <c r="CF37" i="9"/>
  <c r="BM32" i="9"/>
  <c r="CI15" i="19" s="1"/>
  <c r="E25" i="9"/>
  <c r="AY26" i="9"/>
  <c r="BY39" i="9"/>
  <c r="BR22" i="9"/>
  <c r="CP35" i="9"/>
  <c r="AR32" i="9"/>
  <c r="I30" i="9"/>
  <c r="CF38" i="9"/>
  <c r="DB21" i="19" s="1"/>
  <c r="BX22" i="9"/>
  <c r="Q23" i="9"/>
  <c r="J28" i="9"/>
  <c r="AN31" i="9"/>
  <c r="BT32" i="9"/>
  <c r="CB22" i="9"/>
  <c r="AJ38" i="9"/>
  <c r="Y35" i="9"/>
  <c r="AU18" i="19" s="1"/>
  <c r="BC39" i="9"/>
  <c r="BA39" i="9"/>
  <c r="BN29" i="9"/>
  <c r="AQ36" i="9"/>
  <c r="BL34" i="9"/>
  <c r="BF32" i="9"/>
  <c r="W33" i="9"/>
  <c r="V32" i="9"/>
  <c r="AR15" i="19" s="1"/>
  <c r="BM31" i="9"/>
  <c r="AJ25" i="9"/>
  <c r="AM37" i="9"/>
  <c r="BA20" i="9"/>
  <c r="AT25" i="9"/>
  <c r="BA30" i="9"/>
  <c r="BI23" i="9"/>
  <c r="AI37" i="9"/>
  <c r="R37" i="9"/>
  <c r="BT33" i="9"/>
  <c r="AH26" i="9"/>
  <c r="AX37" i="9"/>
  <c r="AY32" i="9"/>
  <c r="V24" i="9"/>
  <c r="AY27" i="9"/>
  <c r="AQ20" i="9"/>
  <c r="BI38" i="9"/>
  <c r="AQ32" i="9"/>
  <c r="CG32" i="9"/>
  <c r="DC15" i="19" s="1"/>
  <c r="AB31" i="9"/>
  <c r="BA23" i="9"/>
  <c r="CE39" i="9"/>
  <c r="BD29" i="9"/>
  <c r="BG26" i="9"/>
  <c r="CC9" i="19" s="1"/>
  <c r="AT32" i="9"/>
  <c r="BG36" i="9"/>
  <c r="AG27" i="9"/>
  <c r="BN27" i="9"/>
  <c r="CB32" i="9"/>
  <c r="G39" i="9"/>
  <c r="BX27" i="9"/>
  <c r="U20" i="9"/>
  <c r="BU29" i="9"/>
  <c r="CG31" i="9"/>
  <c r="DC14" i="19" s="1"/>
  <c r="Z35" i="9"/>
  <c r="AP22" i="9"/>
  <c r="CJ26" i="9"/>
  <c r="CG33" i="9"/>
  <c r="DC16" i="19" s="1"/>
  <c r="CO23" i="9"/>
  <c r="BD26" i="9"/>
  <c r="BZ9" i="19" s="1"/>
  <c r="AI23" i="9"/>
  <c r="AM28" i="9"/>
  <c r="BJ24" i="9"/>
  <c r="BU30" i="9"/>
  <c r="K25" i="9"/>
  <c r="Y39" i="9"/>
  <c r="J26" i="9"/>
  <c r="BW28" i="9"/>
  <c r="CS11" i="19" s="1"/>
  <c r="AZ28" i="9"/>
  <c r="L21" i="9"/>
  <c r="CP27" i="9"/>
  <c r="AU36" i="9"/>
  <c r="AD35" i="9"/>
  <c r="BH33" i="9"/>
  <c r="R36" i="9"/>
  <c r="AP20" i="9"/>
  <c r="AM25" i="9"/>
  <c r="BV30" i="9"/>
  <c r="AN34" i="9"/>
  <c r="P26" i="9"/>
  <c r="AL25" i="9"/>
  <c r="H27" i="9"/>
  <c r="AR39" i="9"/>
  <c r="CH21" i="9"/>
  <c r="G20" i="9"/>
  <c r="BF34" i="9"/>
  <c r="S21" i="9"/>
  <c r="Z26" i="9"/>
  <c r="CE34" i="9"/>
  <c r="W27" i="9"/>
  <c r="AS26" i="9"/>
  <c r="BB23" i="9"/>
  <c r="CC33" i="9"/>
  <c r="BF27" i="9"/>
  <c r="AP39" i="9"/>
  <c r="CF22" i="9"/>
  <c r="L32" i="9"/>
  <c r="CC39" i="9"/>
  <c r="CE29" i="9"/>
  <c r="CB33" i="9"/>
  <c r="CX16" i="19" s="1"/>
  <c r="AU34" i="9"/>
  <c r="AW20" i="9"/>
  <c r="AX36" i="9"/>
  <c r="AO39" i="9"/>
  <c r="AJ26" i="9"/>
  <c r="CP29" i="9"/>
  <c r="BJ30" i="9"/>
  <c r="BF30" i="9"/>
  <c r="CB13" i="19" s="1"/>
  <c r="M26" i="9"/>
  <c r="CB21" i="9"/>
  <c r="CR23" i="9"/>
  <c r="AP30" i="9"/>
  <c r="CE35" i="9"/>
  <c r="BU33" i="9"/>
  <c r="N32" i="9"/>
  <c r="BS27" i="9"/>
  <c r="CO10" i="19" s="1"/>
  <c r="BE22" i="9"/>
  <c r="K30" i="9"/>
  <c r="BQ24" i="9"/>
  <c r="H36" i="9"/>
  <c r="CR21" i="9"/>
  <c r="BP21" i="9"/>
  <c r="G29" i="9"/>
  <c r="BT28" i="9"/>
  <c r="CP11" i="19" s="1"/>
  <c r="BA33" i="9"/>
  <c r="V22" i="9"/>
  <c r="BZ39" i="9"/>
  <c r="CR39" i="9"/>
  <c r="BK39" i="9"/>
  <c r="L36" i="9"/>
  <c r="AS20" i="9"/>
  <c r="N34" i="9"/>
  <c r="AJ17" i="19" s="1"/>
  <c r="AI28" i="9"/>
  <c r="K14" i="22"/>
  <c r="CJ27" i="9"/>
  <c r="AI38" i="9"/>
  <c r="X28" i="9"/>
  <c r="BG24" i="9"/>
  <c r="CJ25" i="9"/>
  <c r="CM35" i="9"/>
  <c r="DI18" i="19" s="1"/>
  <c r="BJ29" i="9"/>
  <c r="BE25" i="9"/>
  <c r="AS35" i="9"/>
  <c r="AF20" i="9"/>
  <c r="AD28" i="9"/>
  <c r="AM39" i="9"/>
  <c r="CK37" i="9"/>
  <c r="AE32" i="9"/>
  <c r="BA15" i="19" s="1"/>
  <c r="CA31" i="9"/>
  <c r="H38" i="9"/>
  <c r="T32" i="9"/>
  <c r="BC35" i="9"/>
  <c r="AR25" i="9"/>
  <c r="BJ23" i="9"/>
  <c r="U31" i="9"/>
  <c r="M31" i="9"/>
  <c r="Z31" i="9"/>
  <c r="BO30" i="9"/>
  <c r="CA32" i="9"/>
  <c r="BO27" i="9"/>
  <c r="F33" i="9"/>
  <c r="BC29" i="9"/>
  <c r="AJ27" i="9"/>
  <c r="CG24" i="9"/>
  <c r="DC7" i="19" s="1"/>
  <c r="AY29" i="9"/>
  <c r="CQ22" i="9"/>
  <c r="BX24" i="9"/>
  <c r="BY27" i="9"/>
  <c r="BU36" i="9"/>
  <c r="R38" i="9"/>
  <c r="AW25" i="9"/>
  <c r="AZ35" i="9"/>
  <c r="BV18" i="19" s="1"/>
  <c r="CH38" i="9"/>
  <c r="U25" i="9"/>
  <c r="N25" i="9"/>
  <c r="Q25" i="9"/>
  <c r="BS22" i="9"/>
  <c r="CH36" i="9"/>
  <c r="K14" i="18"/>
  <c r="L35" i="9"/>
  <c r="AH18" i="19" s="1"/>
  <c r="BS30" i="9"/>
  <c r="CF33" i="9"/>
  <c r="N20" i="9"/>
  <c r="CQ23" i="9"/>
  <c r="CM22" i="9"/>
  <c r="AY39" i="9"/>
  <c r="CF26" i="9"/>
  <c r="BY29" i="9"/>
  <c r="CU12" i="19" s="1"/>
  <c r="CM31" i="9"/>
  <c r="CD38" i="9"/>
  <c r="AG28" i="9"/>
  <c r="CJ32" i="9"/>
  <c r="AY33" i="9"/>
  <c r="AS39" i="9"/>
  <c r="AN35" i="9"/>
  <c r="N28" i="9"/>
  <c r="AJ11" i="19" s="1"/>
  <c r="BR33" i="9"/>
  <c r="AV20" i="9"/>
  <c r="BZ23" i="9"/>
  <c r="CP31" i="9"/>
  <c r="BM23" i="9"/>
  <c r="AQ24" i="9"/>
  <c r="K35" i="9"/>
  <c r="BB33" i="9"/>
  <c r="BX16" i="19" s="1"/>
  <c r="F20" i="9"/>
  <c r="CN29" i="9"/>
  <c r="R26" i="9"/>
  <c r="CC31" i="9"/>
  <c r="AF35" i="9"/>
  <c r="W34" i="9"/>
  <c r="BG28" i="9"/>
  <c r="BP36" i="9"/>
  <c r="CL19" i="19" s="1"/>
  <c r="CG37" i="9"/>
  <c r="DC20" i="19" s="1"/>
  <c r="CN20" i="9"/>
  <c r="BS28" i="9"/>
  <c r="AJ24" i="9"/>
  <c r="CE28" i="9"/>
  <c r="BG34" i="9"/>
  <c r="BR39" i="9"/>
  <c r="N39" i="9"/>
  <c r="AJ22" i="19" s="1"/>
  <c r="BE23" i="9"/>
  <c r="E32" i="9"/>
  <c r="CN39" i="9"/>
  <c r="CD22" i="9"/>
  <c r="J33" i="9"/>
  <c r="AU37" i="9"/>
  <c r="BZ28" i="9"/>
  <c r="CN23" i="9"/>
  <c r="CR27" i="9"/>
  <c r="AE31" i="9"/>
  <c r="AA29" i="9"/>
  <c r="BF23" i="9"/>
  <c r="I22" i="9"/>
  <c r="S36" i="9"/>
  <c r="E22" i="9"/>
  <c r="BL38" i="9"/>
  <c r="CH21" i="19" s="1"/>
  <c r="BL36" i="9"/>
  <c r="N30" i="9"/>
  <c r="BW30" i="9"/>
  <c r="AZ29" i="9"/>
  <c r="AK33" i="9"/>
  <c r="AQ28" i="9"/>
  <c r="BR26" i="9"/>
  <c r="BI36" i="9"/>
  <c r="CE19" i="19" s="1"/>
  <c r="AH28" i="9"/>
  <c r="AU29" i="9"/>
  <c r="L20" i="9"/>
  <c r="BI26" i="9"/>
  <c r="AH35" i="9"/>
  <c r="CK36" i="9"/>
  <c r="CO22" i="9"/>
  <c r="P31" i="9"/>
  <c r="AL14" i="19" s="1"/>
  <c r="AG22" i="9"/>
  <c r="R35" i="9"/>
  <c r="CN25" i="9"/>
  <c r="BL29" i="9"/>
  <c r="BD33" i="9"/>
  <c r="S35" i="9"/>
  <c r="L31" i="9"/>
  <c r="CP24" i="9"/>
  <c r="DL7" i="19" s="1"/>
  <c r="Q35" i="9"/>
  <c r="AU32" i="9"/>
  <c r="S24" i="9"/>
  <c r="AO25" i="9"/>
  <c r="H35" i="9"/>
  <c r="X29" i="9"/>
  <c r="CF29" i="9"/>
  <c r="AP23" i="9"/>
  <c r="CR25" i="9"/>
  <c r="BZ37" i="9"/>
  <c r="F22" i="9"/>
  <c r="AJ39" i="9"/>
  <c r="BK25" i="9"/>
  <c r="AM35" i="9"/>
  <c r="CH39" i="9"/>
  <c r="H32" i="9"/>
  <c r="AD15" i="19" s="1"/>
  <c r="AL36" i="9"/>
  <c r="CK32" i="9"/>
  <c r="CQ30" i="9"/>
  <c r="E30" i="9"/>
  <c r="AX31" i="9"/>
  <c r="BK27" i="9"/>
  <c r="AK39" i="9"/>
  <c r="F27" i="9"/>
  <c r="AB10" i="19" s="1"/>
  <c r="CM36" i="9"/>
  <c r="AC34" i="9"/>
  <c r="AD30" i="9"/>
  <c r="AY22" i="9"/>
  <c r="CN33" i="9"/>
  <c r="AD39" i="9"/>
  <c r="CI37" i="9"/>
  <c r="T23" i="9"/>
  <c r="CL24" i="9"/>
  <c r="BJ26" i="9"/>
  <c r="BA32" i="9"/>
  <c r="BW26" i="9"/>
  <c r="CF36" i="9"/>
  <c r="AX38" i="9"/>
  <c r="V25" i="9"/>
  <c r="CE31" i="9"/>
  <c r="DA14" i="19" s="1"/>
  <c r="BK33" i="9"/>
  <c r="CR20" i="9"/>
  <c r="BL31" i="9"/>
  <c r="AG24" i="9"/>
  <c r="BN31" i="9"/>
  <c r="BJ20" i="9"/>
  <c r="CR34" i="9"/>
  <c r="BT24" i="9"/>
  <c r="CO20" i="9"/>
  <c r="AD23" i="9"/>
  <c r="AW34" i="9"/>
  <c r="CH27" i="9"/>
  <c r="BA38" i="9"/>
  <c r="V35" i="9"/>
  <c r="BO31" i="9"/>
  <c r="CA23" i="9"/>
  <c r="AJ31" i="9"/>
  <c r="BR32" i="9"/>
  <c r="BY36" i="9"/>
  <c r="AZ27" i="9"/>
  <c r="BI32" i="9"/>
  <c r="BW37" i="9"/>
  <c r="BY35" i="9"/>
  <c r="BR31" i="9"/>
  <c r="BY31" i="9"/>
  <c r="Y33" i="9"/>
  <c r="T35" i="9"/>
  <c r="CB28" i="9"/>
  <c r="AB39" i="9"/>
  <c r="AH33" i="9"/>
  <c r="K28" i="9"/>
  <c r="BD38" i="9"/>
  <c r="BZ21" i="19" s="1"/>
  <c r="AE35" i="9"/>
  <c r="CM33" i="9"/>
  <c r="AJ22" i="9"/>
  <c r="AC22" i="9"/>
  <c r="BT20" i="9"/>
  <c r="CJ23" i="9"/>
  <c r="AX28" i="9"/>
  <c r="AJ36" i="9"/>
  <c r="BF19" i="19" s="1"/>
  <c r="AV28" i="9"/>
  <c r="CG29" i="9"/>
  <c r="DC12" i="19" s="1"/>
  <c r="BX25" i="9"/>
  <c r="P27" i="9"/>
  <c r="BO33" i="9"/>
  <c r="CP32" i="9"/>
  <c r="I32" i="9"/>
  <c r="AV32" i="9"/>
  <c r="BR15" i="19" s="1"/>
  <c r="AL26" i="9"/>
  <c r="BX36" i="9"/>
  <c r="BD22" i="9"/>
  <c r="BG30" i="9"/>
  <c r="BP24" i="9"/>
  <c r="P34" i="9"/>
  <c r="CQ28" i="9"/>
  <c r="V26" i="9"/>
  <c r="AR9" i="19" s="1"/>
  <c r="P30" i="9"/>
  <c r="AN26" i="9"/>
  <c r="BU39" i="9"/>
  <c r="AX35" i="9"/>
  <c r="Y37" i="9"/>
  <c r="AS36" i="9"/>
  <c r="S32" i="9"/>
  <c r="BU38" i="9"/>
  <c r="CQ21" i="19" s="1"/>
  <c r="K32" i="9"/>
  <c r="AX25" i="9"/>
  <c r="CN35" i="9"/>
  <c r="CQ31" i="9"/>
  <c r="AR22" i="9"/>
  <c r="AA35" i="9"/>
  <c r="AE25" i="9"/>
  <c r="AC38" i="9"/>
  <c r="AY21" i="19" s="1"/>
  <c r="O35" i="9"/>
  <c r="L28" i="9"/>
  <c r="BL35" i="9"/>
  <c r="CP21" i="9"/>
  <c r="CL32" i="9"/>
  <c r="CC27" i="9"/>
  <c r="V31" i="9"/>
  <c r="F38" i="9"/>
  <c r="AB21" i="19" s="1"/>
  <c r="CR33" i="9"/>
  <c r="AL34" i="9"/>
  <c r="BT23" i="9"/>
  <c r="BW32" i="9"/>
  <c r="AZ34" i="9"/>
  <c r="BQ36" i="9"/>
  <c r="AZ24" i="9"/>
  <c r="BC25" i="9"/>
  <c r="AA24" i="9"/>
  <c r="W32" i="9"/>
  <c r="G38" i="9"/>
  <c r="BO20" i="9"/>
  <c r="O21" i="9"/>
  <c r="J37" i="9"/>
  <c r="CF32" i="9"/>
  <c r="CR31" i="9"/>
  <c r="DN14" i="19" s="1"/>
  <c r="CI32" i="9"/>
  <c r="CB34" i="9"/>
  <c r="N38" i="9"/>
  <c r="AU24" i="9"/>
  <c r="CF31" i="9"/>
  <c r="U35" i="9"/>
  <c r="G31" i="9"/>
  <c r="BD34" i="9"/>
  <c r="BZ17" i="19" s="1"/>
  <c r="CK33" i="9"/>
  <c r="AQ29" i="9"/>
  <c r="N22" i="9"/>
  <c r="BC31" i="9"/>
  <c r="BT31" i="9"/>
  <c r="AH29" i="9"/>
  <c r="CF21" i="9"/>
  <c r="CD39" i="9"/>
  <c r="CZ22" i="19" s="1"/>
  <c r="BC26" i="9"/>
  <c r="BX28" i="9"/>
  <c r="BH20" i="9"/>
  <c r="BN34" i="9"/>
  <c r="BE37" i="9"/>
  <c r="BC23" i="9"/>
  <c r="AC26" i="9"/>
  <c r="CQ39" i="9"/>
  <c r="DM22" i="19" s="1"/>
  <c r="AM24" i="9"/>
  <c r="M35" i="9"/>
  <c r="T29" i="9"/>
  <c r="BU22" i="9"/>
  <c r="V27" i="9"/>
  <c r="BS38" i="9"/>
  <c r="R27" i="9"/>
  <c r="BR25" i="9"/>
  <c r="CN8" i="19" s="1"/>
  <c r="BR23" i="9"/>
  <c r="AN33" i="9"/>
  <c r="AM31" i="9"/>
  <c r="H22" i="9"/>
  <c r="AB32" i="9"/>
  <c r="CA35" i="9"/>
  <c r="CK35" i="9"/>
  <c r="CG25" i="9"/>
  <c r="DC8" i="19" s="1"/>
  <c r="W24" i="9"/>
  <c r="AY37" i="9"/>
  <c r="BB32" i="9"/>
  <c r="Z34" i="9"/>
  <c r="AO32" i="9"/>
  <c r="BR36" i="9"/>
  <c r="BI30" i="9"/>
  <c r="BW39" i="9"/>
  <c r="CS22" i="19" s="1"/>
  <c r="J36" i="9"/>
  <c r="Y36" i="9"/>
  <c r="V37" i="9"/>
  <c r="AB22" i="9"/>
  <c r="AV30" i="9"/>
  <c r="BK34" i="9"/>
  <c r="CI28" i="9"/>
  <c r="AC31" i="9"/>
  <c r="AY14" i="19" s="1"/>
  <c r="E28" i="9"/>
  <c r="BQ22" i="9"/>
  <c r="AV23" i="9"/>
  <c r="AC30" i="9"/>
  <c r="J27" i="9"/>
  <c r="H29" i="9"/>
  <c r="BY30" i="9"/>
  <c r="CQ26" i="9"/>
  <c r="DM9" i="19" s="1"/>
  <c r="AB26" i="9"/>
  <c r="BZ30" i="9"/>
  <c r="BM27" i="9"/>
  <c r="BD27" i="9"/>
  <c r="BZ34" i="9"/>
  <c r="AI27" i="9"/>
  <c r="N35" i="9"/>
  <c r="CE23" i="9"/>
  <c r="AK25" i="9"/>
  <c r="AS38" i="9"/>
  <c r="E34" i="9"/>
  <c r="N26" i="9"/>
  <c r="BI33" i="9"/>
  <c r="AT31" i="9"/>
  <c r="U27" i="9"/>
  <c r="AE26" i="9"/>
  <c r="BA9" i="19" s="1"/>
  <c r="G28" i="9"/>
  <c r="BV24" i="9"/>
  <c r="BH24" i="9"/>
  <c r="V23" i="9"/>
  <c r="AW31" i="9"/>
  <c r="CR24" i="9"/>
  <c r="BF24" i="9"/>
  <c r="CB38" i="9"/>
  <c r="CC20" i="9"/>
  <c r="CI31" i="9"/>
  <c r="J30" i="9"/>
  <c r="CH30" i="9"/>
  <c r="BD37" i="9"/>
  <c r="U33" i="9"/>
  <c r="M24" i="9"/>
  <c r="I36" i="9"/>
  <c r="AE19" i="19" s="1"/>
  <c r="K22" i="9"/>
  <c r="AU35" i="9"/>
  <c r="BY34" i="9"/>
  <c r="CL23" i="9"/>
  <c r="Y24" i="9"/>
  <c r="CE20" i="9"/>
  <c r="BZ33" i="9"/>
  <c r="AJ37" i="9"/>
  <c r="BF20" i="19" s="1"/>
  <c r="Y30" i="9"/>
  <c r="F28" i="9"/>
  <c r="AB23" i="9"/>
  <c r="O25" i="9"/>
  <c r="AD31" i="9"/>
  <c r="CJ30" i="9"/>
  <c r="AW38" i="9"/>
  <c r="AF32" i="9"/>
  <c r="BB15" i="19" s="1"/>
  <c r="CE21" i="9"/>
  <c r="R30" i="9"/>
  <c r="P29" i="9"/>
  <c r="CJ22" i="9"/>
  <c r="AD29" i="9"/>
  <c r="BV35" i="9"/>
  <c r="R32" i="9"/>
  <c r="AD22" i="9"/>
  <c r="AZ5" i="19" s="1"/>
  <c r="BJ39" i="9"/>
  <c r="CG36" i="9"/>
  <c r="DC19" i="19" s="1"/>
  <c r="CN32" i="9"/>
  <c r="R22" i="9"/>
  <c r="BV27" i="9"/>
  <c r="CA39" i="9"/>
  <c r="G30" i="9"/>
  <c r="AX23" i="9"/>
  <c r="AP35" i="9"/>
  <c r="E36" i="9"/>
  <c r="AQ38" i="9"/>
  <c r="J22" i="9"/>
  <c r="V20" i="9"/>
  <c r="BF31" i="9"/>
  <c r="AW37" i="9"/>
  <c r="M20" i="9"/>
  <c r="BO24" i="9"/>
  <c r="BW27" i="9"/>
  <c r="AR28" i="9"/>
  <c r="BR27" i="9"/>
  <c r="H28" i="9"/>
  <c r="BP28" i="9"/>
  <c r="BQ20" i="9"/>
  <c r="BX37" i="9"/>
  <c r="CT20" i="19" s="1"/>
  <c r="BD31" i="9"/>
  <c r="AO24" i="9"/>
  <c r="BQ29" i="9"/>
  <c r="L27" i="9"/>
  <c r="K39" i="9"/>
  <c r="BA28" i="9"/>
  <c r="BV34" i="9"/>
  <c r="AQ23" i="9"/>
  <c r="X27" i="9"/>
  <c r="AM36" i="9"/>
  <c r="G25" i="9"/>
  <c r="CE22" i="9"/>
  <c r="BM35" i="9"/>
  <c r="CN27" i="9"/>
  <c r="AP37" i="9"/>
  <c r="AA22" i="9"/>
  <c r="S38" i="9"/>
  <c r="AG26" i="9"/>
  <c r="BH22" i="9"/>
  <c r="R39" i="9"/>
  <c r="BO39" i="9"/>
  <c r="BW33" i="9"/>
  <c r="BV23" i="9"/>
  <c r="AL33" i="9"/>
  <c r="BH16" i="19" s="1"/>
  <c r="Z38" i="9"/>
  <c r="U24" i="9"/>
  <c r="I38" i="9"/>
  <c r="I28" i="9"/>
  <c r="AI39" i="9"/>
  <c r="BP26" i="9"/>
  <c r="CE26" i="9"/>
  <c r="DA9" i="19" s="1"/>
  <c r="AK27" i="9"/>
  <c r="BG10" i="19" s="1"/>
  <c r="AT36" i="9"/>
  <c r="Y25" i="9"/>
  <c r="BH27" i="9"/>
  <c r="CJ36" i="9"/>
  <c r="CP22" i="9"/>
  <c r="T31" i="9"/>
  <c r="J29" i="9"/>
  <c r="CK26" i="9"/>
  <c r="DG9" i="19" s="1"/>
  <c r="BT36" i="9"/>
  <c r="CM29" i="9"/>
  <c r="BC27" i="9"/>
  <c r="T24" i="9"/>
  <c r="AP24" i="9"/>
  <c r="BM34" i="9"/>
  <c r="CK22" i="9"/>
  <c r="Y26" i="9"/>
  <c r="BL25" i="9"/>
  <c r="O30" i="9"/>
  <c r="AZ25" i="9"/>
  <c r="L33" i="9"/>
  <c r="N24" i="9"/>
  <c r="AZ23" i="9"/>
  <c r="CO32" i="9"/>
  <c r="AZ26" i="9"/>
  <c r="BV9" i="19" s="1"/>
  <c r="E24" i="9"/>
  <c r="BI35" i="9"/>
  <c r="M27" i="9"/>
  <c r="BA31" i="9"/>
  <c r="G32" i="9"/>
  <c r="T25" i="9"/>
  <c r="BK31" i="9"/>
  <c r="N21" i="9"/>
  <c r="BO36" i="9"/>
  <c r="BE28" i="9"/>
  <c r="L23" i="9"/>
  <c r="CF24" i="9"/>
  <c r="BS24" i="9"/>
  <c r="CQ20" i="9"/>
  <c r="V36" i="9"/>
  <c r="AO31" i="9"/>
  <c r="BK14" i="19" s="1"/>
  <c r="CH32" i="9"/>
  <c r="CH31" i="9"/>
  <c r="Z36" i="9"/>
  <c r="AC32" i="9"/>
  <c r="AP25" i="9"/>
  <c r="M32" i="9"/>
  <c r="BO25" i="9"/>
  <c r="AR27" i="9"/>
  <c r="BN10" i="19" s="1"/>
  <c r="CM37" i="9"/>
  <c r="AQ21" i="9"/>
  <c r="BX29" i="9"/>
  <c r="P23" i="9"/>
  <c r="BN28" i="9"/>
  <c r="AV24" i="9"/>
  <c r="AM23" i="9"/>
  <c r="AW39" i="9"/>
  <c r="BS22" i="19" s="1"/>
  <c r="X22" i="9"/>
  <c r="F26" i="9"/>
  <c r="BH36" i="9"/>
  <c r="BG21" i="9"/>
  <c r="O26" i="9"/>
  <c r="AJ28" i="9"/>
  <c r="AC33" i="9"/>
  <c r="CO26" i="9"/>
  <c r="AF27" i="9"/>
  <c r="T36" i="9"/>
  <c r="CB31" i="9"/>
  <c r="O23" i="9"/>
  <c r="AL31" i="9"/>
  <c r="AI36" i="9"/>
  <c r="BI24" i="9"/>
  <c r="H39" i="9"/>
  <c r="AD22" i="19" s="1"/>
  <c r="BB28" i="9"/>
  <c r="U22" i="9"/>
  <c r="BI28" i="9"/>
  <c r="AR37" i="9"/>
  <c r="BV26" i="9"/>
  <c r="Z32" i="9"/>
  <c r="CQ33" i="9"/>
  <c r="BL24" i="9"/>
  <c r="CH7" i="19" s="1"/>
  <c r="AY23" i="9"/>
  <c r="AX24" i="9"/>
  <c r="H37" i="9"/>
  <c r="AB28" i="9"/>
  <c r="BD23" i="9"/>
  <c r="CQ29" i="9"/>
  <c r="CG28" i="9"/>
  <c r="DC11" i="19" s="1"/>
  <c r="BW20" i="9"/>
  <c r="I23" i="9"/>
  <c r="BI39" i="9"/>
  <c r="AM38" i="9"/>
  <c r="U23" i="9"/>
  <c r="BM22" i="9"/>
  <c r="Z24" i="9"/>
  <c r="AT21" i="9"/>
  <c r="S23" i="9"/>
  <c r="CO34" i="9"/>
  <c r="CI35" i="9"/>
  <c r="AI35" i="9"/>
  <c r="AM32" i="9"/>
  <c r="BA22" i="9"/>
  <c r="AP31" i="9"/>
  <c r="AC39" i="9"/>
  <c r="AR24" i="9"/>
  <c r="BN7" i="19" s="1"/>
  <c r="AI32" i="9"/>
  <c r="BP39" i="9"/>
  <c r="CJ35" i="9"/>
  <c r="CH28" i="9"/>
  <c r="BX34" i="9"/>
  <c r="BG31" i="9"/>
  <c r="BE35" i="9"/>
  <c r="AP28" i="9"/>
  <c r="BL11" i="19" s="1"/>
  <c r="CJ24" i="9"/>
  <c r="BY24" i="9"/>
  <c r="J35" i="9"/>
  <c r="AW95" i="9"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CS17" i="19"/>
  <c r="DA17" i="19"/>
  <c r="CS13" i="19"/>
  <c r="DA13" i="19"/>
  <c r="CS9" i="19"/>
  <c r="CS36" i="19"/>
  <c r="DA36" i="19"/>
  <c r="CS32" i="19"/>
  <c r="DA32" i="19"/>
  <c r="CS28" i="19"/>
  <c r="DA28" i="19"/>
  <c r="CS24" i="19"/>
  <c r="DA24" i="19"/>
  <c r="CS20" i="19"/>
  <c r="DA20" i="19"/>
  <c r="CS16" i="19"/>
  <c r="DA16" i="19"/>
  <c r="DA12" i="19"/>
  <c r="CS8" i="19"/>
  <c r="DA8" i="19"/>
  <c r="CS35" i="19"/>
  <c r="DA35" i="19"/>
  <c r="CS31" i="19"/>
  <c r="DA31" i="19"/>
  <c r="CS27" i="19"/>
  <c r="DA27" i="19"/>
  <c r="CS23" i="19"/>
  <c r="DA23" i="19"/>
  <c r="CS15" i="19"/>
  <c r="DA15" i="19"/>
  <c r="DA11" i="19"/>
  <c r="CS7" i="19"/>
  <c r="DA7" i="19"/>
  <c r="CS34" i="19"/>
  <c r="DA34" i="19"/>
  <c r="CS30" i="19"/>
  <c r="DA30" i="19"/>
  <c r="CS26" i="19"/>
  <c r="DA26" i="19"/>
  <c r="DA22" i="19"/>
  <c r="CS18" i="19"/>
  <c r="DA18" i="19"/>
  <c r="CS14" i="19"/>
  <c r="CS10" i="19"/>
  <c r="DA10" i="19"/>
  <c r="CQ37" i="19"/>
  <c r="CT37" i="19"/>
  <c r="CQ33" i="19"/>
  <c r="CT33" i="19"/>
  <c r="CQ29" i="19"/>
  <c r="CT29" i="19"/>
  <c r="CQ25" i="19"/>
  <c r="CT25" i="19"/>
  <c r="CT21" i="19"/>
  <c r="CQ17" i="19"/>
  <c r="CT17" i="19"/>
  <c r="CQ13" i="19"/>
  <c r="CT13" i="19"/>
  <c r="CQ9" i="19"/>
  <c r="CT9" i="19"/>
  <c r="CQ36" i="19"/>
  <c r="CT36" i="19"/>
  <c r="CQ32" i="19"/>
  <c r="CT32" i="19"/>
  <c r="CQ28" i="19"/>
  <c r="CT28" i="19"/>
  <c r="CQ24" i="19"/>
  <c r="CT24" i="19"/>
  <c r="CQ16" i="19"/>
  <c r="CT16" i="19"/>
  <c r="CQ12" i="19"/>
  <c r="CT12" i="19"/>
  <c r="CQ8" i="19"/>
  <c r="CT8" i="19"/>
  <c r="CQ35" i="19"/>
  <c r="CT35" i="19"/>
  <c r="CQ31" i="19"/>
  <c r="CT31" i="19"/>
  <c r="CQ27" i="19"/>
  <c r="CT27" i="19"/>
  <c r="CQ23" i="19"/>
  <c r="CT23" i="19"/>
  <c r="CQ19" i="19"/>
  <c r="CT19" i="19"/>
  <c r="CQ15" i="19"/>
  <c r="CT15" i="19"/>
  <c r="CQ11" i="19"/>
  <c r="CT11" i="19"/>
  <c r="CT7"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I20" i="19"/>
  <c r="CE16" i="19"/>
  <c r="CE12" i="19"/>
  <c r="CI12" i="19"/>
  <c r="CE8" i="19"/>
  <c r="CI8" i="19"/>
  <c r="CE35" i="19"/>
  <c r="CI35" i="19"/>
  <c r="CE31" i="19"/>
  <c r="CI31" i="19"/>
  <c r="CE27" i="19"/>
  <c r="CI27" i="19"/>
  <c r="CE23" i="19"/>
  <c r="CI23" i="19"/>
  <c r="CI19" i="19"/>
  <c r="CE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CF9" i="19"/>
  <c r="BL36" i="19"/>
  <c r="CF36" i="19"/>
  <c r="BL32" i="19"/>
  <c r="CF32" i="19"/>
  <c r="BL28" i="19"/>
  <c r="CF28" i="19"/>
  <c r="BL24" i="19"/>
  <c r="CF24" i="19"/>
  <c r="BL20" i="19"/>
  <c r="CF20" i="19"/>
  <c r="CF16" i="19"/>
  <c r="BL12" i="19"/>
  <c r="CF12" i="19"/>
  <c r="BL8" i="19"/>
  <c r="CF8" i="19"/>
  <c r="BL35" i="19"/>
  <c r="CF35" i="19"/>
  <c r="BL31" i="19"/>
  <c r="CF31" i="19"/>
  <c r="BL27" i="19"/>
  <c r="CF27" i="19"/>
  <c r="BL23" i="19"/>
  <c r="CF23" i="19"/>
  <c r="BL19" i="19"/>
  <c r="CF19" i="19"/>
  <c r="BL15" i="19"/>
  <c r="CF15" i="19"/>
  <c r="CF11" i="19"/>
  <c r="BL7" i="19"/>
  <c r="CF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AZ9" i="19"/>
  <c r="BA5" i="19"/>
  <c r="BA36" i="19"/>
  <c r="AZ36" i="19"/>
  <c r="BA32" i="19"/>
  <c r="AZ32" i="19"/>
  <c r="BA28" i="19"/>
  <c r="AZ28" i="19"/>
  <c r="BA24" i="19"/>
  <c r="AZ24" i="19"/>
  <c r="BA20" i="19"/>
  <c r="AZ20" i="19"/>
  <c r="BA16" i="19"/>
  <c r="AZ16" i="19"/>
  <c r="BA12" i="19"/>
  <c r="AZ12" i="19"/>
  <c r="BA8" i="19"/>
  <c r="AZ8" i="19"/>
  <c r="BA4" i="19"/>
  <c r="AZ4" i="19"/>
  <c r="BA35" i="19"/>
  <c r="AZ35" i="19"/>
  <c r="BA31" i="19"/>
  <c r="AZ31" i="19"/>
  <c r="BA27" i="19"/>
  <c r="AZ27" i="19"/>
  <c r="BA23" i="19"/>
  <c r="AZ23" i="19"/>
  <c r="BA19" i="19"/>
  <c r="AZ15" i="19"/>
  <c r="BA11" i="19"/>
  <c r="AZ11" i="19"/>
  <c r="BA7" i="19"/>
  <c r="AZ7" i="19"/>
  <c r="BA34" i="19"/>
  <c r="AZ34" i="19"/>
  <c r="BA30" i="19"/>
  <c r="AZ30" i="19"/>
  <c r="BA26" i="19"/>
  <c r="AZ26" i="19"/>
  <c r="BA22" i="19"/>
  <c r="AZ22" i="19"/>
  <c r="BA18" i="19"/>
  <c r="AZ18" i="19"/>
  <c r="BA14" i="19"/>
  <c r="AZ14" i="19"/>
  <c r="BA10" i="19"/>
  <c r="AZ10" i="19"/>
  <c r="BA6" i="19"/>
  <c r="AZ6" i="19"/>
  <c r="BA3" i="19"/>
  <c r="AF37" i="19"/>
  <c r="AE37" i="19"/>
  <c r="AF33" i="19"/>
  <c r="AE33" i="19"/>
  <c r="AF29" i="19"/>
  <c r="AE29" i="19"/>
  <c r="AF25" i="19"/>
  <c r="AE25" i="19"/>
  <c r="AF21" i="19"/>
  <c r="AE21" i="19"/>
  <c r="AF17" i="19"/>
  <c r="AF13" i="19"/>
  <c r="AE13" i="19"/>
  <c r="AF9" i="19"/>
  <c r="AE9" i="19"/>
  <c r="AF36" i="19"/>
  <c r="AE36" i="19"/>
  <c r="AF32" i="19"/>
  <c r="AE32" i="19"/>
  <c r="AF28" i="19"/>
  <c r="AE28" i="19"/>
  <c r="AF24" i="19"/>
  <c r="AE24" i="19"/>
  <c r="AF20" i="19"/>
  <c r="AE20" i="19"/>
  <c r="AF16" i="19"/>
  <c r="AF12" i="19"/>
  <c r="AE12" i="19"/>
  <c r="AF8" i="19"/>
  <c r="AE8" i="19"/>
  <c r="AF35" i="19"/>
  <c r="AE35" i="19"/>
  <c r="AF31" i="19"/>
  <c r="AE31" i="19"/>
  <c r="AF27" i="19"/>
  <c r="AE27" i="19"/>
  <c r="AF23" i="19"/>
  <c r="AE23" i="19"/>
  <c r="AF19" i="19"/>
  <c r="AF15" i="19"/>
  <c r="AE15" i="19"/>
  <c r="AF11"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H13" i="19"/>
  <c r="AG13" i="19"/>
  <c r="AH9" i="19"/>
  <c r="AG9" i="19"/>
  <c r="AH36" i="19"/>
  <c r="AG36" i="19"/>
  <c r="AH32" i="19"/>
  <c r="AG32" i="19"/>
  <c r="AH28" i="19"/>
  <c r="AG28" i="19"/>
  <c r="AH24" i="19"/>
  <c r="AG24" i="19"/>
  <c r="AH20" i="19"/>
  <c r="AG20" i="19"/>
  <c r="AH16" i="19"/>
  <c r="AG16" i="19"/>
  <c r="AG12" i="19"/>
  <c r="AH8" i="19"/>
  <c r="AG8" i="19"/>
  <c r="AH35" i="19"/>
  <c r="AG35" i="19"/>
  <c r="AH31" i="19"/>
  <c r="AG31" i="19"/>
  <c r="AH27" i="19"/>
  <c r="AG27" i="19"/>
  <c r="AH23" i="19"/>
  <c r="AG23" i="19"/>
  <c r="AH19" i="19"/>
  <c r="AG19" i="19"/>
  <c r="AH15" i="19"/>
  <c r="AG15" i="19"/>
  <c r="AH11" i="19"/>
  <c r="AG11" i="19"/>
  <c r="AH7" i="19"/>
  <c r="AG7" i="19"/>
  <c r="AH34" i="19"/>
  <c r="AG34" i="19"/>
  <c r="AH30" i="19"/>
  <c r="AG30" i="19"/>
  <c r="AH26" i="19"/>
  <c r="AG26" i="19"/>
  <c r="AG22" i="19"/>
  <c r="AG18" i="19"/>
  <c r="AH14" i="19"/>
  <c r="AG14" i="19"/>
  <c r="AH10" i="19"/>
  <c r="AG10" i="19"/>
  <c r="AJ37" i="19"/>
  <c r="AI37" i="19"/>
  <c r="AJ33" i="19"/>
  <c r="AI33" i="19"/>
  <c r="AJ29" i="19"/>
  <c r="AI29" i="19"/>
  <c r="AJ25" i="19"/>
  <c r="AI25" i="19"/>
  <c r="AJ21" i="19"/>
  <c r="AI21"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I11" i="19"/>
  <c r="AJ7" i="19"/>
  <c r="AI7" i="19"/>
  <c r="AJ34" i="19"/>
  <c r="AI34" i="19"/>
  <c r="AJ30" i="19"/>
  <c r="AI30" i="19"/>
  <c r="AJ26" i="19"/>
  <c r="AI26"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K20" i="19"/>
  <c r="AL16" i="19"/>
  <c r="AK16" i="19"/>
  <c r="AL12" i="19"/>
  <c r="AK12" i="19"/>
  <c r="AL8" i="19"/>
  <c r="AK8" i="19"/>
  <c r="AL35" i="19"/>
  <c r="AK35" i="19"/>
  <c r="AL31" i="19"/>
  <c r="AK31" i="19"/>
  <c r="AL27" i="19"/>
  <c r="AK27" i="19"/>
  <c r="AL23" i="19"/>
  <c r="AK23" i="19"/>
  <c r="AL19" i="19"/>
  <c r="AK19" i="19"/>
  <c r="AL15" i="19"/>
  <c r="AK15" i="19"/>
  <c r="AL11" i="19"/>
  <c r="AK11" i="19"/>
  <c r="AL7" i="19"/>
  <c r="AK7" i="19"/>
  <c r="AL34" i="19"/>
  <c r="AK34" i="19"/>
  <c r="AL30" i="19"/>
  <c r="AK30" i="19"/>
  <c r="AL26" i="19"/>
  <c r="AK26" i="19"/>
  <c r="AL22" i="19"/>
  <c r="AK22" i="19"/>
  <c r="AK18" i="19"/>
  <c r="AK14" i="19"/>
  <c r="AL10" i="19"/>
  <c r="AK10" i="19"/>
  <c r="AN37" i="19"/>
  <c r="AM37" i="19"/>
  <c r="AN33" i="19"/>
  <c r="AM33" i="19"/>
  <c r="AN29" i="19"/>
  <c r="AM29" i="19"/>
  <c r="AN25" i="19"/>
  <c r="AM25" i="19"/>
  <c r="AN21" i="19"/>
  <c r="AM21" i="19"/>
  <c r="AM17" i="19"/>
  <c r="AN13" i="19"/>
  <c r="AM13" i="19"/>
  <c r="AN9" i="19"/>
  <c r="AM9" i="19"/>
  <c r="AN36" i="19"/>
  <c r="AM36" i="19"/>
  <c r="AN32" i="19"/>
  <c r="AM32" i="19"/>
  <c r="AN28" i="19"/>
  <c r="AM28" i="19"/>
  <c r="AN24" i="19"/>
  <c r="AM24" i="19"/>
  <c r="AN20" i="19"/>
  <c r="AM20" i="19"/>
  <c r="AN16" i="19"/>
  <c r="AN12" i="19"/>
  <c r="AM12" i="19"/>
  <c r="AM8" i="19"/>
  <c r="AN35" i="19"/>
  <c r="AM35" i="19"/>
  <c r="AN31" i="19"/>
  <c r="AM31" i="19"/>
  <c r="AN27" i="19"/>
  <c r="AM27" i="19"/>
  <c r="AN23" i="19"/>
  <c r="AM23" i="19"/>
  <c r="AN19" i="19"/>
  <c r="AM19" i="19"/>
  <c r="AN15" i="19"/>
  <c r="AM15" i="19"/>
  <c r="AN11" i="19"/>
  <c r="AM11" i="19"/>
  <c r="AN7" i="19"/>
  <c r="AM7" i="19"/>
  <c r="AN34" i="19"/>
  <c r="AM34" i="19"/>
  <c r="AN30" i="19"/>
  <c r="AM30" i="19"/>
  <c r="AN26" i="19"/>
  <c r="AM26" i="19"/>
  <c r="AN22" i="19"/>
  <c r="AM22" i="19"/>
  <c r="AN18" i="19"/>
  <c r="AM18" i="19"/>
  <c r="AN14" i="19"/>
  <c r="AN10" i="19"/>
  <c r="AM10" i="19"/>
  <c r="AO37" i="19"/>
  <c r="AO33" i="19"/>
  <c r="AO29" i="19"/>
  <c r="AO25" i="19"/>
  <c r="AO21" i="19"/>
  <c r="AO17" i="19"/>
  <c r="AO13" i="19"/>
  <c r="AO9" i="19"/>
  <c r="AO36" i="19"/>
  <c r="AO32" i="19"/>
  <c r="AO28" i="19"/>
  <c r="AO24" i="19"/>
  <c r="AO16" i="19"/>
  <c r="AO8" i="19"/>
  <c r="AO35" i="19"/>
  <c r="AO31" i="19"/>
  <c r="AO27" i="19"/>
  <c r="AO23" i="19"/>
  <c r="AO19" i="19"/>
  <c r="AO15" i="19"/>
  <c r="AO11" i="19"/>
  <c r="AO7" i="19"/>
  <c r="AO34" i="19"/>
  <c r="AO30" i="19"/>
  <c r="AO26" i="19"/>
  <c r="AO22" i="19"/>
  <c r="AO18"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H22" i="19"/>
  <c r="CM22" i="19"/>
  <c r="DF22" i="19"/>
  <c r="BF22" i="19"/>
  <c r="BI22" i="19"/>
  <c r="BM22" i="19"/>
  <c r="BR22" i="19"/>
  <c r="BZ22" i="19"/>
  <c r="CD22" i="19"/>
  <c r="CL22" i="19"/>
  <c r="CR22" i="19"/>
  <c r="CX22" i="19"/>
  <c r="DE22" i="19"/>
  <c r="BJ22" i="19"/>
  <c r="BW22" i="19"/>
  <c r="CK22" i="19"/>
  <c r="CU22" i="19"/>
  <c r="DB22" i="19"/>
  <c r="DI22" i="19"/>
  <c r="BK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AY22" i="19"/>
  <c r="BB22" i="19"/>
  <c r="DK22" i="19"/>
  <c r="BC22" i="19"/>
  <c r="DL22" i="19"/>
  <c r="BE22" i="19"/>
  <c r="AR22" i="19"/>
  <c r="AQ22" i="19"/>
  <c r="AS22" i="19"/>
  <c r="AB22" i="19"/>
  <c r="AU22" i="19"/>
  <c r="AC22" i="19"/>
  <c r="AV22" i="19"/>
  <c r="BG18" i="19"/>
  <c r="BP18" i="19"/>
  <c r="CB18" i="19"/>
  <c r="CH18" i="19"/>
  <c r="CM18" i="19"/>
  <c r="CZ18" i="19"/>
  <c r="DF18" i="19"/>
  <c r="BH18" i="19"/>
  <c r="BK18" i="19"/>
  <c r="BQ18" i="19"/>
  <c r="BU18" i="19"/>
  <c r="BY18" i="19"/>
  <c r="CC18" i="19"/>
  <c r="CK18" i="19"/>
  <c r="CP18" i="19"/>
  <c r="CW18" i="19"/>
  <c r="DD18" i="19"/>
  <c r="BJ18" i="19"/>
  <c r="BR18" i="19"/>
  <c r="BW18" i="19"/>
  <c r="CL18" i="19"/>
  <c r="CU18" i="19"/>
  <c r="DB18" i="19"/>
  <c r="BM18" i="19"/>
  <c r="BX18" i="19"/>
  <c r="CD18" i="19"/>
  <c r="CN18" i="19"/>
  <c r="CV18" i="19"/>
  <c r="DE18" i="19"/>
  <c r="BI18" i="19"/>
  <c r="BN18" i="19"/>
  <c r="BT18" i="19"/>
  <c r="BZ18" i="19"/>
  <c r="CG18" i="19"/>
  <c r="CO18" i="19"/>
  <c r="CX18" i="19"/>
  <c r="DG18" i="19"/>
  <c r="BF18" i="19"/>
  <c r="BO18" i="19"/>
  <c r="CA18" i="19"/>
  <c r="CR18" i="19"/>
  <c r="CY18" i="19"/>
  <c r="DH18" i="19"/>
  <c r="DJ18" i="19"/>
  <c r="DN18" i="19"/>
  <c r="AX18" i="19"/>
  <c r="BD18" i="19"/>
  <c r="AP18" i="19"/>
  <c r="AT18" i="19"/>
  <c r="AA18" i="19"/>
  <c r="DL18" i="19"/>
  <c r="BB18" i="19"/>
  <c r="DM18" i="19"/>
  <c r="BC18" i="19"/>
  <c r="AW18" i="19"/>
  <c r="BE18" i="19"/>
  <c r="DK18" i="19"/>
  <c r="AY18" i="19"/>
  <c r="AR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DE14" i="19"/>
  <c r="BI14" i="19"/>
  <c r="BM14" i="19"/>
  <c r="BT14" i="19"/>
  <c r="CG14" i="19"/>
  <c r="CP14" i="19"/>
  <c r="CW14" i="19"/>
  <c r="DF14" i="19"/>
  <c r="BP14" i="19"/>
  <c r="BZ14" i="19"/>
  <c r="CJ14" i="19"/>
  <c r="CY14" i="19"/>
  <c r="DI14" i="19"/>
  <c r="BQ14" i="19"/>
  <c r="BV14" i="19"/>
  <c r="CB14" i="19"/>
  <c r="CL14" i="19"/>
  <c r="CR14" i="19"/>
  <c r="DB14" i="19"/>
  <c r="DJ14" i="19"/>
  <c r="AX14" i="19"/>
  <c r="BD14" i="19"/>
  <c r="AP14" i="19"/>
  <c r="AT14" i="19"/>
  <c r="AA14" i="19"/>
  <c r="DL14" i="19"/>
  <c r="AW14" i="19"/>
  <c r="BE14" i="19"/>
  <c r="DM14" i="19"/>
  <c r="BB14" i="19"/>
  <c r="AR14" i="19"/>
  <c r="AC14" i="19"/>
  <c r="AQ14" i="19"/>
  <c r="AS14" i="19"/>
  <c r="AB14" i="19"/>
  <c r="AU14" i="19"/>
  <c r="AD14" i="19"/>
  <c r="AV14" i="19"/>
  <c r="BF10" i="19"/>
  <c r="BH10" i="19"/>
  <c r="BJ10" i="19"/>
  <c r="BU10" i="19"/>
  <c r="CA10" i="19"/>
  <c r="CD10" i="19"/>
  <c r="CK10" i="19"/>
  <c r="CU10" i="19"/>
  <c r="CX10" i="19"/>
  <c r="DD10" i="19"/>
  <c r="DH10" i="19"/>
  <c r="BO10" i="19"/>
  <c r="BW10" i="19"/>
  <c r="CH10" i="19"/>
  <c r="BM10" i="19"/>
  <c r="BS10" i="19"/>
  <c r="BV10" i="19"/>
  <c r="BZ10" i="19"/>
  <c r="CG10" i="19"/>
  <c r="CM10" i="19"/>
  <c r="CR10" i="19"/>
  <c r="CY10" i="19"/>
  <c r="DF10" i="19"/>
  <c r="BK10" i="19"/>
  <c r="BT10" i="19"/>
  <c r="CB10" i="19"/>
  <c r="CN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U10" i="19"/>
  <c r="AD10" i="19"/>
  <c r="AV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CC21" i="19"/>
  <c r="CJ21" i="19"/>
  <c r="CN21" i="19"/>
  <c r="CR21" i="19"/>
  <c r="CW21" i="19"/>
  <c r="DG21" i="19"/>
  <c r="BH21" i="19"/>
  <c r="BK21" i="19"/>
  <c r="BP21" i="19"/>
  <c r="BU21" i="19"/>
  <c r="BY21" i="19"/>
  <c r="CB21" i="19"/>
  <c r="CK21" i="19"/>
  <c r="CP21" i="19"/>
  <c r="DD21" i="19"/>
  <c r="DI21" i="19"/>
  <c r="BG21" i="19"/>
  <c r="BS21" i="19"/>
  <c r="BX21" i="19"/>
  <c r="CD21" i="19"/>
  <c r="CM21" i="19"/>
  <c r="CV21" i="19"/>
  <c r="DE21" i="19"/>
  <c r="BI21" i="19"/>
  <c r="BN21" i="19"/>
  <c r="CO21" i="19"/>
  <c r="CX21" i="19"/>
  <c r="DF21" i="19"/>
  <c r="BF21" i="19"/>
  <c r="BO21" i="19"/>
  <c r="CA21" i="19"/>
  <c r="DH21" i="19"/>
  <c r="BJ21" i="19"/>
  <c r="BR21" i="19"/>
  <c r="BV21" i="19"/>
  <c r="CL21" i="19"/>
  <c r="CU21" i="19"/>
  <c r="CZ21" i="19"/>
  <c r="AW21" i="19"/>
  <c r="BC21" i="19"/>
  <c r="AT21" i="19"/>
  <c r="DM21" i="19"/>
  <c r="BB21" i="19"/>
  <c r="DN21" i="19"/>
  <c r="BD21" i="19"/>
  <c r="DJ21" i="19"/>
  <c r="AX21" i="19"/>
  <c r="BE21" i="19"/>
  <c r="DL21" i="19"/>
  <c r="AD21" i="19"/>
  <c r="AU21" i="19"/>
  <c r="AR21" i="19"/>
  <c r="AA21" i="19"/>
  <c r="AS21" i="19"/>
  <c r="AC21" i="19"/>
  <c r="AV21" i="19"/>
  <c r="AQ21" i="19"/>
  <c r="BM17" i="19"/>
  <c r="BQ17" i="19"/>
  <c r="BT17" i="19"/>
  <c r="BW17" i="19"/>
  <c r="CC17" i="19"/>
  <c r="CJ17" i="19"/>
  <c r="CN17" i="19"/>
  <c r="CR17" i="19"/>
  <c r="CW17" i="19"/>
  <c r="DB17" i="19"/>
  <c r="DG17" i="19"/>
  <c r="BG17" i="19"/>
  <c r="BJ17" i="19"/>
  <c r="BO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AP17" i="19"/>
  <c r="AT17" i="19"/>
  <c r="AB17" i="19"/>
  <c r="DL17" i="19"/>
  <c r="BD17" i="19"/>
  <c r="DM17" i="19"/>
  <c r="AX17" i="19"/>
  <c r="BE17" i="19"/>
  <c r="DN17" i="19"/>
  <c r="AY17" i="19"/>
  <c r="DJ17" i="19"/>
  <c r="BB17" i="19"/>
  <c r="AD17" i="19"/>
  <c r="AU17" i="19"/>
  <c r="AC17" i="19"/>
  <c r="AV17" i="19"/>
  <c r="AA17" i="19"/>
  <c r="AQ17" i="19"/>
  <c r="AR17" i="19"/>
  <c r="AS17" i="19"/>
  <c r="BI13" i="19"/>
  <c r="BK13" i="19"/>
  <c r="BS13" i="19"/>
  <c r="BY13" i="19"/>
  <c r="CG13" i="19"/>
  <c r="CL13" i="19"/>
  <c r="CP13" i="19"/>
  <c r="CV13" i="19"/>
  <c r="DI13" i="19"/>
  <c r="BF13" i="19"/>
  <c r="BM13" i="19"/>
  <c r="BR13" i="19"/>
  <c r="BV13" i="19"/>
  <c r="BZ13" i="19"/>
  <c r="CD13" i="19"/>
  <c r="CR13" i="19"/>
  <c r="CX13" i="19"/>
  <c r="DF13" i="19"/>
  <c r="BH13" i="19"/>
  <c r="BT13" i="19"/>
  <c r="CH13" i="19"/>
  <c r="CO13" i="19"/>
  <c r="CW13" i="19"/>
  <c r="BP13" i="19"/>
  <c r="BU13" i="19"/>
  <c r="CA13" i="19"/>
  <c r="CJ13" i="19"/>
  <c r="CZ13" i="19"/>
  <c r="DH13" i="19"/>
  <c r="BG13" i="19"/>
  <c r="BQ13" i="19"/>
  <c r="BW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CJ9" i="19"/>
  <c r="CN9" i="19"/>
  <c r="CR9" i="19"/>
  <c r="CW9" i="19"/>
  <c r="BS9" i="19"/>
  <c r="CG9" i="19"/>
  <c r="CM9" i="19"/>
  <c r="CY9" i="19"/>
  <c r="DE9" i="19"/>
  <c r="DI9" i="19"/>
  <c r="BI9" i="19"/>
  <c r="BO9" i="19"/>
  <c r="BU9" i="19"/>
  <c r="CH9" i="19"/>
  <c r="CP9" i="19"/>
  <c r="CX9" i="19"/>
  <c r="DF9" i="19"/>
  <c r="BH9" i="19"/>
  <c r="BY9" i="19"/>
  <c r="CD9" i="19"/>
  <c r="CO9" i="19"/>
  <c r="DD9" i="19"/>
  <c r="BJ9" i="19"/>
  <c r="CK9" i="19"/>
  <c r="CZ9" i="19"/>
  <c r="BX9" i="19"/>
  <c r="CL9" i="19"/>
  <c r="DB9" i="19"/>
  <c r="BF9" i="19"/>
  <c r="BP9" i="19"/>
  <c r="BG9" i="19"/>
  <c r="BR9" i="19"/>
  <c r="CB9" i="19"/>
  <c r="DH9" i="19"/>
  <c r="DK9" i="19"/>
  <c r="AW9" i="19"/>
  <c r="BC9" i="19"/>
  <c r="AP9" i="19"/>
  <c r="AT9" i="19"/>
  <c r="AB9" i="19"/>
  <c r="DN9" i="19"/>
  <c r="AY9" i="19"/>
  <c r="DJ9" i="19"/>
  <c r="BB9" i="19"/>
  <c r="DL9" i="19"/>
  <c r="BD9" i="19"/>
  <c r="AX9" i="19"/>
  <c r="BE9" i="19"/>
  <c r="AD9" i="19"/>
  <c r="AU9" i="19"/>
  <c r="AV9" i="19"/>
  <c r="AC9" i="19"/>
  <c r="AQ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H20" i="19"/>
  <c r="BJ20" i="19"/>
  <c r="BN20" i="19"/>
  <c r="BR20" i="19"/>
  <c r="BU20" i="19"/>
  <c r="BX20" i="19"/>
  <c r="CA20" i="19"/>
  <c r="CD20" i="19"/>
  <c r="CK20" i="19"/>
  <c r="CO20" i="19"/>
  <c r="CU20" i="19"/>
  <c r="CX20" i="19"/>
  <c r="DD20" i="19"/>
  <c r="DH20" i="19"/>
  <c r="BG20" i="19"/>
  <c r="BO20" i="19"/>
  <c r="BW20" i="19"/>
  <c r="CH20" i="19"/>
  <c r="CV20" i="19"/>
  <c r="CZ20" i="19"/>
  <c r="DG20" i="19"/>
  <c r="BI20" i="19"/>
  <c r="BM20" i="19"/>
  <c r="BT20" i="19"/>
  <c r="CG20" i="19"/>
  <c r="CP20" i="19"/>
  <c r="DF20" i="19"/>
  <c r="BP20" i="19"/>
  <c r="BZ20" i="19"/>
  <c r="CJ20" i="19"/>
  <c r="CY20" i="19"/>
  <c r="DI20" i="19"/>
  <c r="BK20" i="19"/>
  <c r="BQ20" i="19"/>
  <c r="BV20" i="19"/>
  <c r="CB20" i="19"/>
  <c r="CL20" i="19"/>
  <c r="CR20" i="19"/>
  <c r="DB20" i="19"/>
  <c r="BS20" i="19"/>
  <c r="CC20" i="19"/>
  <c r="CM20" i="19"/>
  <c r="DE20" i="19"/>
  <c r="DL20" i="19"/>
  <c r="BB20" i="19"/>
  <c r="AP20" i="19"/>
  <c r="AT20" i="19"/>
  <c r="AC20" i="19"/>
  <c r="DM20" i="19"/>
  <c r="AW20" i="19"/>
  <c r="BD20" i="19"/>
  <c r="DN20" i="19"/>
  <c r="AX20" i="19"/>
  <c r="BE20" i="19"/>
  <c r="DJ20" i="19"/>
  <c r="AY20" i="19"/>
  <c r="DK20" i="19"/>
  <c r="BC20" i="19"/>
  <c r="AR20" i="19"/>
  <c r="AB20" i="19"/>
  <c r="AU20" i="19"/>
  <c r="AD20" i="19"/>
  <c r="AV20" i="19"/>
  <c r="AQ20" i="19"/>
  <c r="AA20" i="19"/>
  <c r="BJ16" i="19"/>
  <c r="BN16" i="19"/>
  <c r="BR16" i="19"/>
  <c r="BU16" i="19"/>
  <c r="CA16" i="19"/>
  <c r="CD16" i="19"/>
  <c r="CK16" i="19"/>
  <c r="CO16" i="19"/>
  <c r="CU16" i="19"/>
  <c r="DD16" i="19"/>
  <c r="DH16" i="19"/>
  <c r="BM16" i="19"/>
  <c r="BS16" i="19"/>
  <c r="BV16" i="19"/>
  <c r="BZ16" i="19"/>
  <c r="CG16" i="19"/>
  <c r="CM16" i="19"/>
  <c r="CR16" i="19"/>
  <c r="CY16" i="19"/>
  <c r="DF16" i="19"/>
  <c r="BO16" i="19"/>
  <c r="CH16" i="19"/>
  <c r="CP16" i="19"/>
  <c r="CW16" i="19"/>
  <c r="DG16" i="19"/>
  <c r="BP16" i="19"/>
  <c r="CZ16" i="19"/>
  <c r="DI16" i="19"/>
  <c r="BG16" i="19"/>
  <c r="BK16" i="19"/>
  <c r="BQ16" i="19"/>
  <c r="BW16" i="19"/>
  <c r="CB16" i="19"/>
  <c r="CL16" i="19"/>
  <c r="CV16" i="19"/>
  <c r="DB16" i="19"/>
  <c r="BY16" i="19"/>
  <c r="CC16" i="19"/>
  <c r="CN16" i="19"/>
  <c r="DE16" i="19"/>
  <c r="DL16" i="19"/>
  <c r="BB16" i="19"/>
  <c r="AP16" i="19"/>
  <c r="AT16" i="19"/>
  <c r="AC16" i="19"/>
  <c r="AX16" i="19"/>
  <c r="BE16" i="19"/>
  <c r="DM16" i="19"/>
  <c r="AY16" i="19"/>
  <c r="DN16" i="19"/>
  <c r="BC16" i="19"/>
  <c r="DJ16" i="19"/>
  <c r="BD16" i="19"/>
  <c r="AR16" i="19"/>
  <c r="AA16" i="19"/>
  <c r="AD16" i="19"/>
  <c r="AV16" i="19"/>
  <c r="AQ16" i="19"/>
  <c r="AS16" i="19"/>
  <c r="AU16" i="19"/>
  <c r="AB16" i="19"/>
  <c r="BG12" i="19"/>
  <c r="BP12" i="19"/>
  <c r="BV12" i="19"/>
  <c r="CB12" i="19"/>
  <c r="CH12" i="19"/>
  <c r="CM12" i="19"/>
  <c r="CZ12" i="19"/>
  <c r="BH12" i="19"/>
  <c r="BK12" i="19"/>
  <c r="BQ12" i="19"/>
  <c r="BU12" i="19"/>
  <c r="BY12" i="19"/>
  <c r="CC12" i="19"/>
  <c r="CK12" i="19"/>
  <c r="CP12" i="19"/>
  <c r="CW12" i="19"/>
  <c r="DD12" i="19"/>
  <c r="DI12" i="19"/>
  <c r="BF12" i="19"/>
  <c r="BO12" i="19"/>
  <c r="CA12" i="19"/>
  <c r="CJ12" i="19"/>
  <c r="CR12" i="19"/>
  <c r="CY12" i="19"/>
  <c r="DH12" i="19"/>
  <c r="BJ12" i="19"/>
  <c r="BR12" i="19"/>
  <c r="BW12" i="19"/>
  <c r="CL12" i="19"/>
  <c r="DB12" i="19"/>
  <c r="BM12" i="19"/>
  <c r="BX12" i="19"/>
  <c r="CD12" i="19"/>
  <c r="CN12" i="19"/>
  <c r="CV12" i="19"/>
  <c r="DE12" i="19"/>
  <c r="BI12" i="19"/>
  <c r="BN12" i="19"/>
  <c r="BT12" i="19"/>
  <c r="BZ12" i="19"/>
  <c r="CG12" i="19"/>
  <c r="CX12" i="19"/>
  <c r="DG12" i="19"/>
  <c r="DL12" i="19"/>
  <c r="AP12" i="19"/>
  <c r="AT12" i="19"/>
  <c r="AC12" i="19"/>
  <c r="DJ12" i="19"/>
  <c r="AY12" i="19"/>
  <c r="DK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O8" i="19"/>
  <c r="CU8" i="19"/>
  <c r="CX8" i="19"/>
  <c r="DD8" i="19"/>
  <c r="DH8" i="19"/>
  <c r="BI8" i="19"/>
  <c r="BQ8" i="19"/>
  <c r="CC8" i="19"/>
  <c r="CW8" i="19"/>
  <c r="DE8" i="19"/>
  <c r="BP8" i="19"/>
  <c r="BV8" i="19"/>
  <c r="CJ8" i="19"/>
  <c r="CR8" i="19"/>
  <c r="CZ8" i="19"/>
  <c r="DI8" i="19"/>
  <c r="BO8" i="19"/>
  <c r="BT8" i="19"/>
  <c r="BZ8" i="19"/>
  <c r="CH8" i="19"/>
  <c r="CP8" i="19"/>
  <c r="CY8" i="19"/>
  <c r="DG8" i="19"/>
  <c r="BK8" i="19"/>
  <c r="BW8" i="19"/>
  <c r="DB8" i="19"/>
  <c r="BM8" i="19"/>
  <c r="BY8" i="19"/>
  <c r="DF8" i="19"/>
  <c r="BG8" i="19"/>
  <c r="BS8" i="19"/>
  <c r="CB8" i="19"/>
  <c r="CV8" i="19"/>
  <c r="CG8" i="19"/>
  <c r="DL8" i="19"/>
  <c r="BB8" i="19"/>
  <c r="AP8" i="19"/>
  <c r="AT8" i="19"/>
  <c r="AC8" i="19"/>
  <c r="DN8" i="19"/>
  <c r="BC8" i="19"/>
  <c r="DJ8" i="19"/>
  <c r="AW8" i="19"/>
  <c r="BD8" i="19"/>
  <c r="DK8" i="19"/>
  <c r="AX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P19" i="19"/>
  <c r="CV19" i="19"/>
  <c r="CY19" i="19"/>
  <c r="DE19" i="19"/>
  <c r="DI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J15" i="19"/>
  <c r="CN15" i="19"/>
  <c r="BH15" i="19"/>
  <c r="BK15" i="19"/>
  <c r="BP15" i="19"/>
  <c r="BU15" i="19"/>
  <c r="CB15" i="19"/>
  <c r="CK15" i="19"/>
  <c r="CP15" i="19"/>
  <c r="CV15" i="19"/>
  <c r="CY15" i="19"/>
  <c r="DE15" i="19"/>
  <c r="DI15" i="19"/>
  <c r="BJ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AY15" i="19"/>
  <c r="BE15" i="19"/>
  <c r="AP15" i="19"/>
  <c r="AT15" i="19"/>
  <c r="DK15" i="19"/>
  <c r="DL15" i="19"/>
  <c r="BC15" i="19"/>
  <c r="DN15" i="19"/>
  <c r="AW15" i="19"/>
  <c r="BD15" i="19"/>
  <c r="DJ15" i="19"/>
  <c r="AX15" i="19"/>
  <c r="AU15" i="19"/>
  <c r="AQ15" i="19"/>
  <c r="AA15" i="19"/>
  <c r="AS15" i="19"/>
  <c r="AB15" i="19"/>
  <c r="AV15" i="19"/>
  <c r="AC15" i="19"/>
  <c r="BM11" i="19"/>
  <c r="BQ11" i="19"/>
  <c r="BT11" i="19"/>
  <c r="BW11" i="19"/>
  <c r="CC11" i="19"/>
  <c r="CJ11" i="19"/>
  <c r="CN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X11" i="19"/>
  <c r="DF11" i="19"/>
  <c r="BF11" i="19"/>
  <c r="BP11" i="19"/>
  <c r="CA11" i="19"/>
  <c r="CY11" i="19"/>
  <c r="DM11" i="19"/>
  <c r="AY11" i="19"/>
  <c r="BE11" i="19"/>
  <c r="AP11" i="19"/>
  <c r="AT11" i="19"/>
  <c r="DJ11" i="19"/>
  <c r="BC11" i="19"/>
  <c r="DK11" i="19"/>
  <c r="AW11" i="19"/>
  <c r="BD11" i="19"/>
  <c r="DL11" i="19"/>
  <c r="AX11" i="19"/>
  <c r="DN11" i="19"/>
  <c r="BB11" i="19"/>
  <c r="AD11" i="19"/>
  <c r="AC11" i="19"/>
  <c r="AV11" i="19"/>
  <c r="AA11" i="19"/>
  <c r="AB11" i="19"/>
  <c r="AR11" i="19"/>
  <c r="BI7" i="19"/>
  <c r="BK7" i="19"/>
  <c r="BO7" i="19"/>
  <c r="BS7" i="19"/>
  <c r="BY7" i="19"/>
  <c r="CG7" i="19"/>
  <c r="CL7" i="19"/>
  <c r="CP7" i="19"/>
  <c r="CV7" i="19"/>
  <c r="CY7" i="19"/>
  <c r="DE7" i="19"/>
  <c r="DI7" i="19"/>
  <c r="BP7" i="19"/>
  <c r="BT7" i="19"/>
  <c r="BX7" i="19"/>
  <c r="CB7" i="19"/>
  <c r="CJ7" i="19"/>
  <c r="CO7" i="19"/>
  <c r="DB7" i="19"/>
  <c r="DH7" i="19"/>
  <c r="BG7" i="19"/>
  <c r="BR7" i="19"/>
  <c r="BW7" i="19"/>
  <c r="CC7" i="19"/>
  <c r="CM7" i="19"/>
  <c r="CU7" i="19"/>
  <c r="DD7" i="19"/>
  <c r="BF7" i="19"/>
  <c r="BQ7" i="19"/>
  <c r="BV7" i="19"/>
  <c r="CA7" i="19"/>
  <c r="CK7" i="19"/>
  <c r="CR7" i="19"/>
  <c r="CZ7" i="19"/>
  <c r="BM7" i="19"/>
  <c r="DF7" i="19"/>
  <c r="BZ7" i="19"/>
  <c r="DG7" i="19"/>
  <c r="BH7" i="19"/>
  <c r="CD7" i="19"/>
  <c r="CW7" i="19"/>
  <c r="CX7" i="19"/>
  <c r="DM7" i="19"/>
  <c r="AY7" i="19"/>
  <c r="BE7" i="19"/>
  <c r="AP7" i="19"/>
  <c r="AT7" i="19"/>
  <c r="DN7" i="19"/>
  <c r="AW7" i="19"/>
  <c r="BD7" i="19"/>
  <c r="DJ7" i="19"/>
  <c r="AX7" i="19"/>
  <c r="DK7" i="19"/>
  <c r="BB7" i="19"/>
  <c r="BC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L10" i="9"/>
  <c r="L9" i="9"/>
  <c r="P8" i="9"/>
  <c r="L8" i="9"/>
  <c r="P9"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I210" i="14"/>
  <c r="F1692" i="21"/>
  <c r="AN55" i="9"/>
  <c r="G210" i="14"/>
  <c r="R55" i="9"/>
  <c r="J324" i="14"/>
  <c r="G286" i="14"/>
  <c r="BS55" i="9"/>
  <c r="F172" i="15"/>
  <c r="I514" i="14"/>
  <c r="BG55" i="9"/>
  <c r="CH55" i="9"/>
  <c r="W55" i="9"/>
  <c r="T55" i="9"/>
  <c r="F248" i="14"/>
  <c r="S55" i="9"/>
  <c r="H362" i="14"/>
  <c r="G628" i="14"/>
  <c r="H248" i="14"/>
  <c r="H96" i="14"/>
  <c r="BY55" i="9"/>
  <c r="F134" i="15"/>
  <c r="AB55" i="9"/>
  <c r="H514" i="14"/>
  <c r="AV55" i="9"/>
  <c r="BT55" i="9"/>
  <c r="H172" i="14"/>
  <c r="AQ55" i="9"/>
  <c r="G666" i="14"/>
  <c r="AK55" i="9"/>
  <c r="G1692" i="21"/>
  <c r="F666" i="14"/>
  <c r="BQ55" i="9"/>
  <c r="AO55" i="9"/>
  <c r="G400" i="14"/>
  <c r="J55" i="9"/>
  <c r="BC55" i="9"/>
  <c r="I96" i="14"/>
  <c r="CK55" i="9"/>
  <c r="BV55" i="9"/>
  <c r="G1882" i="22"/>
  <c r="CR55" i="9"/>
  <c r="BA55" i="9"/>
  <c r="V55" i="9"/>
  <c r="Z55" i="9"/>
  <c r="BZ55" i="9"/>
  <c r="AD55" i="9"/>
  <c r="H1692" i="21"/>
  <c r="J286" i="14"/>
  <c r="BP55" i="9"/>
  <c r="H134" i="15"/>
  <c r="BI55" i="9"/>
  <c r="Q55" i="9"/>
  <c r="H134" i="14"/>
  <c r="J248" i="14"/>
  <c r="I628" i="14"/>
  <c r="J96" i="14"/>
  <c r="J704" i="14"/>
  <c r="CI55" i="9"/>
  <c r="J628" i="14"/>
  <c r="X55" i="9"/>
  <c r="G55" i="9"/>
  <c r="H324" i="14"/>
  <c r="BM55" i="9"/>
  <c r="AZ55" i="9"/>
  <c r="I704" i="14"/>
  <c r="CF55" i="9"/>
  <c r="H55" i="9"/>
  <c r="H172" i="15"/>
  <c r="J1882" i="22"/>
  <c r="G248" i="14"/>
  <c r="U55" i="9"/>
  <c r="F286" i="14"/>
  <c r="K55" i="9"/>
  <c r="H400" i="14"/>
  <c r="AI55" i="9"/>
  <c r="BK55" i="9"/>
  <c r="H210" i="14"/>
  <c r="AX55" i="9"/>
  <c r="I134" i="15"/>
  <c r="AY55" i="9"/>
  <c r="H1882" i="22"/>
  <c r="AU55" i="9"/>
  <c r="G96" i="14"/>
  <c r="H628" i="14"/>
  <c r="CA55" i="9"/>
  <c r="I286" i="14"/>
  <c r="J134" i="15"/>
  <c r="G704" i="14"/>
  <c r="M55" i="9"/>
  <c r="H666" i="14"/>
  <c r="AG55" i="9"/>
  <c r="J400" i="14"/>
  <c r="F172" i="14"/>
  <c r="J514" i="14"/>
  <c r="F704" i="14"/>
  <c r="CO55" i="9"/>
  <c r="CE55" i="9"/>
  <c r="J172" i="14"/>
  <c r="F362" i="14"/>
  <c r="I400" i="14"/>
  <c r="CN55" i="9"/>
  <c r="J134" i="14"/>
  <c r="H286" i="14"/>
  <c r="CB55" i="9"/>
  <c r="G362" i="14"/>
  <c r="I172" i="15"/>
  <c r="O55" i="9"/>
  <c r="F628" i="14"/>
  <c r="AP55" i="9"/>
  <c r="CP55" i="9"/>
  <c r="AE55" i="9"/>
  <c r="P55" i="9"/>
  <c r="AC55" i="9"/>
  <c r="AS55" i="9"/>
  <c r="AL55" i="9"/>
  <c r="BE55" i="9"/>
  <c r="AT55" i="9"/>
  <c r="I362" i="14"/>
  <c r="F514" i="14"/>
  <c r="I324" i="14"/>
  <c r="BO55" i="9"/>
  <c r="BL55" i="9"/>
  <c r="I134" i="14"/>
  <c r="J172" i="15"/>
  <c r="I1882" i="22"/>
  <c r="G172" i="14"/>
  <c r="BD55" i="9"/>
  <c r="F55" i="9"/>
  <c r="BN55" i="9"/>
  <c r="J210" i="14"/>
  <c r="BR55" i="9"/>
  <c r="G514" i="14"/>
  <c r="AW55" i="9"/>
  <c r="BH55" i="9"/>
  <c r="AA55" i="9"/>
  <c r="J1692" i="21"/>
  <c r="BF55" i="9"/>
  <c r="BU55" i="9"/>
  <c r="F1882" i="22"/>
  <c r="H704" i="14"/>
  <c r="BX55" i="9"/>
  <c r="I248" i="14"/>
  <c r="CG55" i="9"/>
  <c r="G134" i="14"/>
  <c r="BB55" i="9"/>
  <c r="N55" i="9"/>
  <c r="G172" i="15"/>
  <c r="G324" i="14"/>
  <c r="BJ55" i="9"/>
  <c r="AM55" i="9"/>
  <c r="Y55" i="9"/>
  <c r="J362" i="14"/>
  <c r="F324" i="14"/>
  <c r="CM55" i="9"/>
  <c r="F96" i="14"/>
  <c r="J666" i="14"/>
  <c r="I55" i="9"/>
  <c r="CD55" i="9"/>
  <c r="F400" i="14"/>
  <c r="CJ55" i="9"/>
  <c r="CC55" i="9"/>
  <c r="F210" i="14"/>
  <c r="CQ55" i="9"/>
  <c r="G134" i="15"/>
  <c r="CL55" i="9"/>
  <c r="F134" i="14"/>
  <c r="BW55" i="9"/>
  <c r="AH55" i="9"/>
  <c r="I1692" i="21"/>
  <c r="AJ55" i="9"/>
  <c r="E55" i="9"/>
  <c r="AR55" i="9"/>
  <c r="I666" i="14"/>
  <c r="I172" i="14"/>
  <c r="L55" i="9"/>
  <c r="AF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F1578" i="22"/>
  <c r="G1008" i="22"/>
  <c r="G1426" i="22"/>
  <c r="H1844" i="22"/>
  <c r="I1844" i="22"/>
  <c r="I1616" i="21"/>
  <c r="H1578" i="22"/>
  <c r="I1426" i="22"/>
  <c r="I1540" i="22"/>
  <c r="I970" i="21"/>
  <c r="G1540" i="22"/>
  <c r="F1008" i="22"/>
  <c r="H1350" i="21"/>
  <c r="I1008" i="22"/>
  <c r="F970" i="22"/>
  <c r="G1122" i="22"/>
  <c r="J1426" i="22"/>
  <c r="G1616" i="21"/>
  <c r="J1350" i="21"/>
  <c r="J1578" i="22"/>
  <c r="J1844" i="22"/>
  <c r="G970" i="22"/>
  <c r="J1616" i="21"/>
  <c r="H1654" i="21"/>
  <c r="F1616" i="21"/>
  <c r="J1654" i="21"/>
  <c r="G1350" i="21"/>
  <c r="F1654" i="21"/>
  <c r="I1578" i="22"/>
  <c r="I970" i="22"/>
  <c r="F1540" i="22"/>
  <c r="H970" i="22"/>
  <c r="J1122" i="22"/>
  <c r="I1122" i="22"/>
  <c r="J970" i="21"/>
  <c r="F1350" i="21"/>
  <c r="F1844" i="22"/>
  <c r="J1540" i="22"/>
  <c r="I1654" i="21"/>
  <c r="F1426" i="22"/>
  <c r="H1540" i="22"/>
  <c r="G1844" i="22"/>
  <c r="F970" i="21"/>
  <c r="H970" i="21"/>
  <c r="J970" i="22"/>
  <c r="H1426" i="22"/>
  <c r="H1122" i="22"/>
  <c r="G1578" i="22"/>
  <c r="G970" i="21"/>
  <c r="I1350" i="21"/>
  <c r="G1654" i="21"/>
  <c r="H1616" i="21"/>
  <c r="H1008" i="22"/>
  <c r="J1008" i="22"/>
  <c r="F1122"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F1692" i="22"/>
  <c r="G172" i="21"/>
  <c r="G1236" i="21"/>
  <c r="H894" i="21"/>
  <c r="H58" i="22"/>
  <c r="G438" i="14"/>
  <c r="G96" i="15"/>
  <c r="J20" i="18"/>
  <c r="H1388" i="21"/>
  <c r="H780" i="21"/>
  <c r="I552" i="22"/>
  <c r="I742" i="21"/>
  <c r="H248" i="21"/>
  <c r="F324" i="15"/>
  <c r="F96" i="15"/>
  <c r="F248" i="15"/>
  <c r="H20" i="15"/>
  <c r="H96" i="22"/>
  <c r="G476" i="21"/>
  <c r="J438" i="21"/>
  <c r="I58" i="14"/>
  <c r="J324" i="22"/>
  <c r="H476" i="22"/>
  <c r="H96" i="21"/>
  <c r="I476" i="21"/>
  <c r="F58" i="13"/>
  <c r="H96" i="5"/>
  <c r="H932" i="22"/>
  <c r="G552" i="14"/>
  <c r="F438" i="14"/>
  <c r="F818" i="21"/>
  <c r="H362" i="22"/>
  <c r="J58" i="18"/>
  <c r="H552" i="21"/>
  <c r="H400" i="21"/>
  <c r="H818" i="22"/>
  <c r="G210" i="22"/>
  <c r="J1426" i="21"/>
  <c r="I400" i="21"/>
  <c r="J286" i="15"/>
  <c r="G818" i="22"/>
  <c r="G248" i="22"/>
  <c r="G1274" i="21"/>
  <c r="F286" i="15"/>
  <c r="G20" i="22"/>
  <c r="H1046" i="21"/>
  <c r="G1236" i="22"/>
  <c r="G476" i="22"/>
  <c r="G818" i="21"/>
  <c r="F476" i="14"/>
  <c r="H1350" i="22"/>
  <c r="J438" i="14"/>
  <c r="G590" i="22"/>
  <c r="H286" i="22"/>
  <c r="G58" i="14"/>
  <c r="J1198" i="22"/>
  <c r="I1654" i="22"/>
  <c r="I96" i="18"/>
  <c r="H1122" i="21"/>
  <c r="F1464" i="21"/>
  <c r="I362" i="22"/>
  <c r="J552" i="21"/>
  <c r="I438" i="21"/>
  <c r="F20" i="22"/>
  <c r="I362" i="21"/>
  <c r="H704" i="21"/>
  <c r="J58" i="22"/>
  <c r="G438" i="21"/>
  <c r="G894" i="21"/>
  <c r="F818" i="22"/>
  <c r="J1160" i="21"/>
  <c r="G1730" i="22"/>
  <c r="H1236" i="22"/>
  <c r="F20" i="5"/>
  <c r="I286" i="22"/>
  <c r="F20" i="18"/>
  <c r="F1236" i="21"/>
  <c r="I1502" i="21"/>
  <c r="J932" i="22"/>
  <c r="G134" i="18"/>
  <c r="I96" i="5"/>
  <c r="F552" i="21"/>
  <c r="I324" i="21"/>
  <c r="H438" i="14"/>
  <c r="G1160" i="22"/>
  <c r="J58" i="15"/>
  <c r="I286" i="21"/>
  <c r="I894" i="21"/>
  <c r="I58" i="15"/>
  <c r="F628" i="22"/>
  <c r="G286" i="22"/>
  <c r="F172" i="5"/>
  <c r="J96" i="18"/>
  <c r="I1616" i="22"/>
  <c r="H1198" i="22"/>
  <c r="H1654" i="22"/>
  <c r="F20" i="13"/>
  <c r="J58" i="5"/>
  <c r="J1236" i="21"/>
  <c r="G248" i="15"/>
  <c r="I552" i="21"/>
  <c r="H1046" i="22"/>
  <c r="F742" i="22"/>
  <c r="J248" i="21"/>
  <c r="G20" i="14"/>
  <c r="J324" i="21"/>
  <c r="F704" i="22"/>
  <c r="I1274" i="21"/>
  <c r="H1274" i="21"/>
  <c r="J172" i="5"/>
  <c r="H58" i="13"/>
  <c r="H324" i="22"/>
  <c r="G1122" i="21"/>
  <c r="G324" i="15"/>
  <c r="I932" i="21"/>
  <c r="H1198" i="21"/>
  <c r="G666" i="21"/>
  <c r="I96" i="22"/>
  <c r="G134" i="21"/>
  <c r="G20" i="5"/>
  <c r="I514" i="21"/>
  <c r="F1312" i="21"/>
  <c r="F58" i="18"/>
  <c r="G1198" i="22"/>
  <c r="H1008" i="21"/>
  <c r="H1236" i="21"/>
  <c r="J1084" i="21"/>
  <c r="H1616" i="22"/>
  <c r="H1274" i="22"/>
  <c r="I20" i="5"/>
  <c r="G58" i="15"/>
  <c r="G704" i="21"/>
  <c r="J1388" i="21"/>
  <c r="G172" i="5"/>
  <c r="G742" i="21"/>
  <c r="J704" i="21"/>
  <c r="G1198" i="21"/>
  <c r="J96" i="22"/>
  <c r="F590" i="22"/>
  <c r="J894" i="22"/>
  <c r="J1730" i="22"/>
  <c r="G96" i="18"/>
  <c r="I1502" i="22"/>
  <c r="F134" i="18"/>
  <c r="F894" i="21"/>
  <c r="F1084" i="21"/>
  <c r="G932" i="22"/>
  <c r="H96" i="13"/>
  <c r="I324" i="15"/>
  <c r="F1540" i="21"/>
  <c r="G514" i="22"/>
  <c r="I1312" i="22"/>
  <c r="H1160" i="21"/>
  <c r="F286" i="22"/>
  <c r="H514" i="21"/>
  <c r="J134" i="5"/>
  <c r="J172" i="18"/>
  <c r="H210" i="22"/>
  <c r="F1274" i="21"/>
  <c r="F362" i="21"/>
  <c r="I1806" i="22"/>
  <c r="J286" i="22"/>
  <c r="I894" i="22"/>
  <c r="J1768" i="22"/>
  <c r="J1236" i="22"/>
  <c r="G362" i="22"/>
  <c r="I1198" i="22"/>
  <c r="I1464" i="22"/>
  <c r="I20" i="14"/>
  <c r="I20" i="22"/>
  <c r="F894" i="22"/>
  <c r="I438" i="14"/>
  <c r="F134" i="21"/>
  <c r="J20" i="21"/>
  <c r="F96" i="13"/>
  <c r="H1768" i="22"/>
  <c r="H248" i="22"/>
  <c r="I856" i="21"/>
  <c r="I1236" i="22"/>
  <c r="I1122" i="21"/>
  <c r="H1464" i="22"/>
  <c r="F1426" i="21"/>
  <c r="J58" i="14"/>
  <c r="H58" i="5"/>
  <c r="F1160" i="22"/>
  <c r="G172" i="22"/>
  <c r="J1122" i="21"/>
  <c r="G1806" i="22"/>
  <c r="J172" i="22"/>
  <c r="F780" i="21"/>
  <c r="H210" i="21"/>
  <c r="J704" i="22"/>
  <c r="H780" i="22"/>
  <c r="H628" i="21"/>
  <c r="J932" i="21"/>
  <c r="I400" i="22"/>
  <c r="J210" i="22"/>
  <c r="I20" i="13"/>
  <c r="J1046" i="22"/>
  <c r="J210" i="5"/>
  <c r="F1616" i="22"/>
  <c r="I58" i="13"/>
  <c r="H818" i="21"/>
  <c r="F58" i="15"/>
  <c r="F210" i="21"/>
  <c r="I58" i="5"/>
  <c r="F666" i="21"/>
  <c r="J590" i="22"/>
  <c r="J1312" i="21"/>
  <c r="I172" i="22"/>
  <c r="J1160" i="22"/>
  <c r="F856" i="21"/>
  <c r="G58" i="13"/>
  <c r="G666" i="22"/>
  <c r="I1198" i="21"/>
  <c r="H932" i="21"/>
  <c r="I1730" i="22"/>
  <c r="G96" i="5"/>
  <c r="G1464" i="21"/>
  <c r="I1350" i="22"/>
  <c r="I1274" i="22"/>
  <c r="F856" i="22"/>
  <c r="I1008" i="21"/>
  <c r="F1730" i="22"/>
  <c r="F1046" i="21"/>
  <c r="G58" i="21"/>
  <c r="G1768" i="22"/>
  <c r="H704" i="22"/>
  <c r="G58" i="18"/>
  <c r="J20" i="22"/>
  <c r="G210" i="15"/>
  <c r="I704" i="21"/>
  <c r="I210" i="22"/>
  <c r="I134" i="21"/>
  <c r="J362" i="22"/>
  <c r="J856" i="21"/>
  <c r="F514" i="21"/>
  <c r="G172" i="18"/>
  <c r="F932" i="22"/>
  <c r="J96" i="13"/>
  <c r="G20" i="18"/>
  <c r="I590" i="21"/>
  <c r="J1502" i="21"/>
  <c r="I96" i="15"/>
  <c r="J1312" i="22"/>
  <c r="F400" i="22"/>
  <c r="H1578" i="21"/>
  <c r="J514" i="21"/>
  <c r="F1502" i="21"/>
  <c r="F172" i="21"/>
  <c r="G210" i="21"/>
  <c r="J666" i="21"/>
  <c r="G1464" i="22"/>
  <c r="H172" i="18"/>
  <c r="H856" i="22"/>
  <c r="H438" i="21"/>
  <c r="F210" i="15"/>
  <c r="G1502" i="21"/>
  <c r="H590" i="21"/>
  <c r="J210" i="21"/>
  <c r="H742" i="22"/>
  <c r="F134" i="5"/>
  <c r="J742" i="21"/>
  <c r="G96" i="13"/>
  <c r="F1388" i="21"/>
  <c r="J514" i="22"/>
  <c r="I1464" i="21"/>
  <c r="J134" i="21"/>
  <c r="J856" i="22"/>
  <c r="J210" i="15"/>
  <c r="H20" i="21"/>
  <c r="J476" i="14"/>
  <c r="H172" i="5"/>
  <c r="F1768" i="22"/>
  <c r="I210" i="21"/>
  <c r="H590" i="14"/>
  <c r="J1464" i="22"/>
  <c r="F704" i="21"/>
  <c r="J780" i="22"/>
  <c r="H1312" i="22"/>
  <c r="F1198" i="22"/>
  <c r="F58" i="22"/>
  <c r="F362" i="22"/>
  <c r="I210" i="15"/>
  <c r="H400" i="22"/>
  <c r="H666" i="22"/>
  <c r="I818" i="21"/>
  <c r="J400" i="21"/>
  <c r="F96" i="5"/>
  <c r="J894" i="21"/>
  <c r="I1388" i="22"/>
  <c r="H58" i="15"/>
  <c r="J1654" i="22"/>
  <c r="F780" i="22"/>
  <c r="F134" i="22"/>
  <c r="G894" i="22"/>
  <c r="F58" i="5"/>
  <c r="F1160" i="21"/>
  <c r="G286" i="15"/>
  <c r="I1312" i="21"/>
  <c r="G590" i="21"/>
  <c r="H58" i="21"/>
  <c r="H438" i="22"/>
  <c r="F210" i="22"/>
  <c r="J780" i="21"/>
  <c r="I1768" i="22"/>
  <c r="H894" i="22"/>
  <c r="F932" i="21"/>
  <c r="J476" i="22"/>
  <c r="G324" i="21"/>
  <c r="F1236" i="22"/>
  <c r="J362" i="21"/>
  <c r="J20" i="5"/>
  <c r="H134" i="18"/>
  <c r="G552" i="22"/>
  <c r="I780" i="22"/>
  <c r="I172" i="21"/>
  <c r="H742" i="21"/>
  <c r="H1806" i="22"/>
  <c r="F1388" i="22"/>
  <c r="F666" i="22"/>
  <c r="H20" i="14"/>
  <c r="J1692" i="22"/>
  <c r="G134" i="22"/>
  <c r="G1274" i="22"/>
  <c r="F1274" i="22"/>
  <c r="J628" i="21"/>
  <c r="F476" i="21"/>
  <c r="J172" i="21"/>
  <c r="G134" i="5"/>
  <c r="F1046" i="22"/>
  <c r="F514" i="22"/>
  <c r="J324" i="15"/>
  <c r="H552" i="14"/>
  <c r="G780" i="22"/>
  <c r="G438" i="22"/>
  <c r="I20" i="21"/>
  <c r="I1084" i="22"/>
  <c r="G1616" i="22"/>
  <c r="G1046" i="21"/>
  <c r="F742" i="21"/>
  <c r="J58" i="21"/>
  <c r="F286" i="21"/>
  <c r="I476" i="14"/>
  <c r="I172" i="5"/>
  <c r="I704" i="22"/>
  <c r="F1350" i="22"/>
  <c r="H1692" i="22"/>
  <c r="G1350" i="22"/>
  <c r="I58" i="21"/>
  <c r="F628" i="21"/>
  <c r="I666" i="22"/>
  <c r="J666" i="22"/>
  <c r="J1350" i="22"/>
  <c r="H134" i="22"/>
  <c r="I58" i="18"/>
  <c r="G58" i="5"/>
  <c r="I628" i="22"/>
  <c r="F438" i="21"/>
  <c r="H552" i="22"/>
  <c r="F96" i="21"/>
  <c r="F324" i="22"/>
  <c r="G248" i="21"/>
  <c r="H20" i="5"/>
  <c r="J1084" i="22"/>
  <c r="H666" i="21"/>
  <c r="J1008" i="21"/>
  <c r="J286" i="21"/>
  <c r="I134" i="22"/>
  <c r="G1312" i="21"/>
  <c r="J1502" i="22"/>
  <c r="J134" i="18"/>
  <c r="J1388" i="22"/>
  <c r="H134" i="5"/>
  <c r="H1084" i="22"/>
  <c r="J20" i="15"/>
  <c r="J1578" i="21"/>
  <c r="F96" i="22"/>
  <c r="J58" i="13"/>
  <c r="H134" i="21"/>
  <c r="H248" i="15"/>
  <c r="G1388" i="21"/>
  <c r="J20" i="13"/>
  <c r="G286" i="21"/>
  <c r="F248" i="21"/>
  <c r="J1540" i="21"/>
  <c r="H172" i="21"/>
  <c r="H628" i="22"/>
  <c r="I1084" i="21"/>
  <c r="J590" i="21"/>
  <c r="H1464" i="21"/>
  <c r="I20" i="15"/>
  <c r="G1160" i="21"/>
  <c r="H324" i="21"/>
  <c r="H362" i="21"/>
  <c r="I286" i="15"/>
  <c r="H286" i="15"/>
  <c r="J590" i="14"/>
  <c r="G96" i="22"/>
  <c r="F1198" i="21"/>
  <c r="H514" i="22"/>
  <c r="I438" i="22"/>
  <c r="G628" i="22"/>
  <c r="F58" i="14"/>
  <c r="F1008" i="21"/>
  <c r="H20" i="13"/>
  <c r="H1502" i="21"/>
  <c r="F172" i="22"/>
  <c r="I514" i="22"/>
  <c r="G400" i="22"/>
  <c r="I476" i="22"/>
  <c r="H476" i="14"/>
  <c r="F552" i="22"/>
  <c r="F1312" i="22"/>
  <c r="G20" i="15"/>
  <c r="G1388" i="22"/>
  <c r="I818" i="22"/>
  <c r="G58" i="22"/>
  <c r="H1084" i="21"/>
  <c r="J248" i="15"/>
  <c r="J1616" i="22"/>
  <c r="J1046" i="21"/>
  <c r="G96" i="21"/>
  <c r="J1198" i="21"/>
  <c r="F20" i="15"/>
  <c r="G628" i="21"/>
  <c r="I1578" i="21"/>
  <c r="J96" i="15"/>
  <c r="F1654" i="22"/>
  <c r="G1692" i="22"/>
  <c r="G400" i="21"/>
  <c r="G1654" i="22"/>
  <c r="F248" i="22"/>
  <c r="J1806" i="22"/>
  <c r="F58" i="21"/>
  <c r="G1540" i="21"/>
  <c r="J438" i="22"/>
  <c r="I932" i="22"/>
  <c r="G20" i="21"/>
  <c r="H20" i="18"/>
  <c r="I666" i="21"/>
  <c r="H1730" i="22"/>
  <c r="H286" i="21"/>
  <c r="I1236" i="21"/>
  <c r="H58" i="14"/>
  <c r="G1046" i="22"/>
  <c r="I628" i="21"/>
  <c r="J742" i="22"/>
  <c r="F476" i="22"/>
  <c r="F552" i="14"/>
  <c r="I1692" i="22"/>
  <c r="I96" i="13"/>
  <c r="H210" i="15"/>
  <c r="J476" i="21"/>
  <c r="G932" i="21"/>
  <c r="I780" i="21"/>
  <c r="F324" i="21"/>
  <c r="F1502" i="22"/>
  <c r="F590" i="14"/>
  <c r="G590" i="14"/>
  <c r="I248" i="22"/>
  <c r="G1312" i="22"/>
  <c r="H1388" i="22"/>
  <c r="G856" i="22"/>
  <c r="G1084" i="21"/>
  <c r="H96" i="18"/>
  <c r="H172" i="22"/>
  <c r="J96" i="21"/>
  <c r="J1464" i="21"/>
  <c r="H58" i="18"/>
  <c r="J552" i="14"/>
  <c r="G552" i="21"/>
  <c r="I134" i="5"/>
  <c r="I1160" i="21"/>
  <c r="I742" i="22"/>
  <c r="F20" i="21"/>
  <c r="J96" i="5"/>
  <c r="G210" i="5"/>
  <c r="I590" i="14"/>
  <c r="I210" i="5"/>
  <c r="H1540" i="21"/>
  <c r="J818" i="21"/>
  <c r="J1274" i="22"/>
  <c r="F1806" i="22"/>
  <c r="H1426" i="21"/>
  <c r="I1540" i="21"/>
  <c r="G1426" i="21"/>
  <c r="I20" i="18"/>
  <c r="F400" i="21"/>
  <c r="G476" i="14"/>
  <c r="I172" i="18"/>
  <c r="F210" i="5"/>
  <c r="G20" i="13"/>
  <c r="I856" i="22"/>
  <c r="G856" i="21"/>
  <c r="I1160" i="22"/>
  <c r="H1160" i="22"/>
  <c r="I58" i="22"/>
  <c r="H856" i="21"/>
  <c r="I134" i="18"/>
  <c r="F172" i="18"/>
  <c r="H20" i="22"/>
  <c r="I248" i="15"/>
  <c r="I1046" i="21"/>
  <c r="G742" i="22"/>
  <c r="F20" i="14"/>
  <c r="F438" i="22"/>
  <c r="H324" i="15"/>
  <c r="J400" i="22"/>
  <c r="G1502" i="22"/>
  <c r="J818" i="22"/>
  <c r="J1274" i="21"/>
  <c r="J628" i="22"/>
  <c r="H1502" i="22"/>
  <c r="G1008" i="21"/>
  <c r="H476" i="21"/>
  <c r="I590" i="22"/>
  <c r="F1578" i="21"/>
  <c r="G704" i="22"/>
  <c r="F96" i="18"/>
  <c r="F1122" i="21"/>
  <c r="G780" i="21"/>
  <c r="H96" i="15"/>
  <c r="I1426" i="21"/>
  <c r="H590" i="22"/>
  <c r="G362" i="21"/>
  <c r="G1084" i="22"/>
  <c r="I1046" i="22"/>
  <c r="I1388" i="21"/>
  <c r="H1312" i="21"/>
  <c r="G514" i="21"/>
  <c r="J134" i="22"/>
  <c r="H210" i="5"/>
  <c r="I248" i="21"/>
  <c r="I552" i="14"/>
  <c r="F1084" i="22"/>
  <c r="J20" i="14"/>
  <c r="J248" i="22"/>
  <c r="I96" i="21"/>
  <c r="J552" i="22"/>
  <c r="F1464" i="22"/>
  <c r="I324" i="22"/>
  <c r="G1578" i="21"/>
  <c r="F590" i="21"/>
  <c r="G324" i="22"/>
  <c r="G12" i="18" l="1"/>
  <c r="G14" i="21"/>
  <c r="K13" i="5"/>
  <c r="G12" i="22"/>
  <c r="G12" i="5"/>
  <c r="K12" i="14"/>
  <c r="G12" i="13"/>
  <c r="K13" i="15"/>
  <c r="G12" i="21"/>
  <c r="G14" i="13"/>
  <c r="G13" i="18"/>
  <c r="G14" i="22"/>
  <c r="K12" i="5"/>
  <c r="K12" i="13"/>
  <c r="K13" i="21"/>
  <c r="K12" i="15"/>
  <c r="K15" i="15" s="1"/>
  <c r="K13" i="18"/>
  <c r="K13" i="22"/>
  <c r="G13" i="22"/>
  <c r="G13" i="15"/>
  <c r="G14" i="15"/>
  <c r="K13" i="14"/>
  <c r="G14" i="5"/>
  <c r="G12" i="14"/>
  <c r="G12" i="15"/>
  <c r="G13" i="21"/>
  <c r="G13" i="14"/>
  <c r="G14" i="14"/>
  <c r="G14" i="18"/>
  <c r="K13" i="13"/>
  <c r="K12" i="21"/>
  <c r="K12" i="18"/>
  <c r="G13" i="5"/>
  <c r="G13" i="13"/>
  <c r="K12" i="22"/>
  <c r="K15" i="21" l="1"/>
  <c r="K15" i="5"/>
  <c r="G15" i="14"/>
  <c r="G15" i="13"/>
  <c r="K15" i="18"/>
  <c r="K15" i="22"/>
  <c r="G15" i="5"/>
  <c r="K15" i="13"/>
  <c r="G15" i="22"/>
  <c r="K15" i="14"/>
  <c r="G15" i="15"/>
  <c r="G15" i="21"/>
  <c r="G15" i="18"/>
  <c r="L13" i="14" l="1"/>
  <c r="L13" i="13"/>
  <c r="L12" i="13"/>
  <c r="H12" i="13"/>
  <c r="H13" i="13"/>
  <c r="H14" i="13"/>
  <c r="H12" i="14"/>
  <c r="L12" i="14"/>
  <c r="L14" i="18"/>
  <c r="H12" i="18"/>
  <c r="L12" i="18"/>
  <c r="H13" i="18"/>
  <c r="H14" i="18"/>
  <c r="L13" i="18"/>
  <c r="H14" i="22"/>
  <c r="H13" i="22"/>
  <c r="H12" i="22"/>
  <c r="L13" i="22"/>
  <c r="L12" i="22"/>
  <c r="L14" i="22"/>
  <c r="H14" i="5"/>
  <c r="L12" i="5"/>
  <c r="H12" i="5"/>
  <c r="L14" i="5"/>
  <c r="H13" i="5"/>
  <c r="L13" i="5"/>
  <c r="H14" i="14"/>
  <c r="H13" i="14"/>
  <c r="H14" i="21"/>
  <c r="H12" i="21"/>
  <c r="L14" i="21"/>
  <c r="H13" i="21"/>
  <c r="L13" i="21"/>
  <c r="L12" i="21"/>
  <c r="L14" i="13"/>
  <c r="L14" i="14"/>
  <c r="H12" i="15"/>
  <c r="H14" i="15"/>
  <c r="L14" i="15"/>
  <c r="H13" i="15"/>
  <c r="L13" i="15"/>
  <c r="L12" i="15"/>
  <c r="H15" i="22" l="1"/>
  <c r="L15" i="14"/>
  <c r="L15" i="15"/>
  <c r="L15" i="13"/>
  <c r="L15" i="21"/>
  <c r="H15" i="14"/>
  <c r="H15" i="18"/>
  <c r="H15" i="5"/>
  <c r="H15" i="15"/>
  <c r="H15" i="21"/>
  <c r="H15" i="13"/>
  <c r="L15" i="5"/>
  <c r="L15" i="22"/>
  <c r="L1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2A35FDDD-B4C5-4CAA-92C8-BF8441721D2C}">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<sst xmlns="http://schemas.openxmlformats.org/spreadsheetml/2006/main" count="4110" uniqueCount="558">
  <si>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</si>
  <si>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</si>
  <si>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</si>
  <si>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</si>
  <si>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</si>
  <si>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</si>
  <si>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</si>
  <si>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</si>
  <si>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</si>
  <si>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</si>
  <si>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</si>
  <si>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</si>
  <si>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</si>
  <si>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</si>
  <si>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</si>
  <si>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</si>
  <si>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</si>
  <si>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</si>
  <si>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</si>
  <si>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</si>
  <si>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</si>
  <si>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</si>
  <si>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Sitios web</t>
  </si>
  <si>
    <t>Nombre Sitio Web*</t>
  </si>
  <si>
    <t>28 de Mayo, Elecciones Asamblea Madrid</t>
  </si>
  <si>
    <t>URL del Sitio Web*</t>
  </si>
  <si>
    <t>https://elecciones.comunidad.madrid/</t>
  </si>
  <si>
    <t>Alcance de la revisión*</t>
  </si>
  <si>
    <t>Revisión del dominio solicitado</t>
  </si>
  <si>
    <t>Funcionalidad esencial del sitio web*</t>
  </si>
  <si>
    <t>Inofrmación sobre las elecciones del 28 de mayo</t>
  </si>
  <si>
    <t>Fecha de la revisión*</t>
  </si>
  <si>
    <t>Nivel de conformidad a analizar*</t>
  </si>
  <si>
    <r>
      <t xml:space="preserve">UNE-EN 301 549:2022 - </t>
    </r>
    <r>
      <rPr>
        <sz val="11"/>
        <color rgb="FF000000"/>
        <rFont val="Helvetica Neue"/>
      </rPr>
      <t>excluyendo el contenido excluido por el RD 1112/2018</t>
    </r>
  </si>
  <si>
    <t>Soporte de accesibilidad mínimo*</t>
  </si>
  <si>
    <t>Sistema Operativo: Windows 11 Enterprise
Navegador: Google Chrome Versión 135.0.7049.42 (Build oficial) (64 bits)
Herramientas utilizadas: Tawdis, LightHouse, Color Contrast Analyzer, HeadingsMap, Screen reader, Siteimprove, taba11y,  UserCSS y  Axe DevTools</t>
  </si>
  <si>
    <t>Ámbito territorial*</t>
  </si>
  <si>
    <t>CCAA</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</si>
  <si>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</si>
  <si>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</si>
  <si>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</si>
  <si>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</si>
  <si>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</si>
  <si>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</si>
  <si>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</si>
  <si>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</si>
  <si>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</si>
  <si>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</si>
  <si>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</si>
  <si>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</si>
  <si>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</si>
  <si>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</si>
  <si>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</si>
  <si>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</si>
  <si>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</si>
  <si>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Madrid Digital</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</si>
  <si>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</si>
  <si>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</si>
  <si>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</si>
  <si>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</si>
  <si>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</si>
  <si>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</si>
  <si>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</si>
  <si>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</si>
  <si>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</si>
  <si>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</si>
  <si>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</si>
  <si>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</si>
  <si>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</si>
  <si>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</si>
  <si>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</si>
  <si>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</si>
  <si>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</si>
  <si>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</si>
  <si>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</si>
  <si>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</si>
  <si>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</si>
  <si>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PHP/Drupal</t>
  </si>
  <si>
    <t xml:space="preserve">https://www.drupal.org/project/drupal/releases/8.0.0 </t>
  </si>
  <si>
    <t>* Es obligatorio rellenar esta pestaña</t>
  </si>
  <si>
    <t xml:space="preserve"> Selección de la muestra</t>
  </si>
  <si>
    <t xml:space="preserve">ID </t>
  </si>
  <si>
    <t>Nombre corto*</t>
  </si>
  <si>
    <t>Clase*</t>
  </si>
  <si>
    <t>Tipo*</t>
  </si>
  <si>
    <t>URL página*</t>
  </si>
  <si>
    <t>Direccionamiento alternativo (migas)*</t>
  </si>
  <si>
    <t>Tipos de elementos</t>
  </si>
  <si>
    <t>Inicio</t>
  </si>
  <si>
    <t>Página Web</t>
  </si>
  <si>
    <t>Página inicio</t>
  </si>
  <si>
    <t>https://elecciones.comunidad.madrid/es</t>
  </si>
  <si>
    <t>Home</t>
  </si>
  <si>
    <t>Ej. Imágenes, tablas, listas, multimedia, formularios, plantilla X, plantilla Y</t>
  </si>
  <si>
    <t>Resultado Elecciones 28M 2023</t>
  </si>
  <si>
    <t>https://elecciones.comunidad.madrid/es/resultados-elecciones-asamblea-madrid-28m-2023</t>
  </si>
  <si>
    <t>Home &gt; Resultados &gt; Elecciones Asamblea de Madrid 28M 2023</t>
  </si>
  <si>
    <t>Formulario</t>
  </si>
  <si>
    <t>Normativa electoral</t>
  </si>
  <si>
    <t>https://elecciones.comunidad.madrid/es/informacion-electoral/normativa-electoral</t>
  </si>
  <si>
    <t>Home &gt; Información electoral &gt; Normativa electoral</t>
  </si>
  <si>
    <t>Calendario electoral</t>
  </si>
  <si>
    <t>https://elecciones.comunidad.madrid/es/informacion-electoral/calendario-electoral</t>
  </si>
  <si>
    <t>Home &gt; Información electoral &gt; Calendario electoral</t>
  </si>
  <si>
    <t>Direcciones y teléfonos</t>
  </si>
  <si>
    <t>https://elecciones.comunidad.madrid/es/juntas-electorales/direcciones-telefonos</t>
  </si>
  <si>
    <t>Home &gt; Información electoral &gt; Juntas electorales &gt; Direcciones y teléfonos</t>
  </si>
  <si>
    <t>Impresos electrónicos</t>
  </si>
  <si>
    <t>https://elecciones.comunidad.madrid/es/formaciones-politicas/impresos-electronicos</t>
  </si>
  <si>
    <t>Home &gt; Información electoral &gt; Formaciones políticas &gt; Impresos electrónicos</t>
  </si>
  <si>
    <t>Listado de candidaturas</t>
  </si>
  <si>
    <t>https://elecciones.comunidad.madrid/es/formaciones-politicas/listado-candidaturas-proclamadas</t>
  </si>
  <si>
    <t>Home &gt; Información electoral &gt; Formaciones políticas &gt; Listado de candidaturas</t>
  </si>
  <si>
    <t>Partido Feminista de España</t>
  </si>
  <si>
    <t>Aleatoria</t>
  </si>
  <si>
    <t>https://elecciones.comunidad.madrid/es/formaciones-politicas/listado-candidaturas/partido-feminista-espana</t>
  </si>
  <si>
    <t>Home &gt; Información electoral &gt; Formaciones políticas &gt; Listado de candidaturas &gt; Partido Feminista de España</t>
  </si>
  <si>
    <t>¿Dónde voto?</t>
  </si>
  <si>
    <t>https://elecciones.comunidad.madrid/es/votar/donde-voto</t>
  </si>
  <si>
    <t>Home &gt; Votar &gt; ¿Dónde voto?</t>
  </si>
  <si>
    <t>Voto presencial</t>
  </si>
  <si>
    <t>https://elecciones.comunidad.madrid/es/voto-local-electoral/voto-presencial</t>
  </si>
  <si>
    <t>Home &gt; Votar &gt; Voto en Local Electoral  &gt; Voto presencial</t>
  </si>
  <si>
    <t>Ciudadanos temporalmente en el extranjero</t>
  </si>
  <si>
    <t>Pagina tipo</t>
  </si>
  <si>
    <t>https://elecciones.comunidad.madrid/es/voto-correo/solicitud-voto-temporalmente-ausentes</t>
  </si>
  <si>
    <t>Home &gt; Votar &gt; Voto por correo &gt; Ciudadanos temporalmente en el extranjero</t>
  </si>
  <si>
    <t>Nuevo votante</t>
  </si>
  <si>
    <t>https://elecciones.comunidad.madrid/es/votar/nuevo-votante</t>
  </si>
  <si>
    <t>Home &gt; Votar  Nuevo votante</t>
  </si>
  <si>
    <t>Simulación método D'Hondt</t>
  </si>
  <si>
    <t>https://elecciones.comunidad.madrid/es/informacion-util/simulacion-metodo-dhondt</t>
  </si>
  <si>
    <t>Home &gt; Información útil  &gt; Simulación método D'Hondt</t>
  </si>
  <si>
    <t>Ley D'Hondt</t>
  </si>
  <si>
    <t>Servicio / Proceso</t>
  </si>
  <si>
    <t>https://elecciones.comunidad.madrid/es/resultados/ley_d_hondt</t>
  </si>
  <si>
    <t>Home &gt; Información útil  &gt; Simulación método D'Hondt &gt; Simulador  D'Hondt</t>
  </si>
  <si>
    <t>Voto por correo elector CERA en España</t>
  </si>
  <si>
    <t>https://elecciones.comunidad.madrid/es/preguntas-frecuentes/voto-correo-electores-residentes-extranjero</t>
  </si>
  <si>
    <t>Home &gt; Información útil  &gt; Preguntas más frecuentes &gt; Voto por correo elector CERA en España</t>
  </si>
  <si>
    <t>Contacto</t>
  </si>
  <si>
    <t>https://elecciones.comunidad.madrid/es/buzon-de-sugerencias</t>
  </si>
  <si>
    <t>Home &gt; Icono lupa  (Contacto) &gt; Contacto</t>
  </si>
  <si>
    <t>Buscador</t>
  </si>
  <si>
    <t>Búsqueda</t>
  </si>
  <si>
    <t>https://elecciones.comunidad.madrid/es/search?search_api_fulltext=partido</t>
  </si>
  <si>
    <t>Home &gt; Icono lupa &gt; Icono lupa (buscar = partido)</t>
  </si>
  <si>
    <t>Texto</t>
  </si>
  <si>
    <t>Aviso Legal-Privacidad</t>
  </si>
  <si>
    <t>Legal</t>
  </si>
  <si>
    <t>https://elecciones.comunidad.madrid/es/aviso-legal</t>
  </si>
  <si>
    <t>Home &gt; Aviso Legal - Privacidad</t>
  </si>
  <si>
    <t>Mapa Web</t>
  </si>
  <si>
    <t>Mapa web</t>
  </si>
  <si>
    <t>https://elecciones.comunidad.madrid/es/sitemap</t>
  </si>
  <si>
    <t>Home &gt; Mapa Web</t>
  </si>
  <si>
    <t>Enlaces</t>
  </si>
  <si>
    <t>Declaracion Accesibilidad</t>
  </si>
  <si>
    <t>Declaración accesibilidad</t>
  </si>
  <si>
    <t>https://elecciones.comunidad.madrid/es/accesibilidad</t>
  </si>
  <si>
    <t>Home &gt; Accesibilidad</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</si>
  <si>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</si>
  <si>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</si>
  <si>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</si>
  <si>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</si>
  <si>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</si>
  <si>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</si>
  <si>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</si>
  <si>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</si>
  <si>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</si>
  <si>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</si>
  <si>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</si>
  <si>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</si>
  <si>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</si>
  <si>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</si>
  <si>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</si>
  <si>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</si>
  <si>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</si>
  <si>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</si>
  <si>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</si>
  <si>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</si>
  <si>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</si>
  <si>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</si>
  <si>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</si>
  <si>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N/A</t>
  </si>
  <si>
    <t>N/T</t>
  </si>
  <si>
    <t>N/D</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</si>
  <si>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</si>
  <si>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</si>
  <si>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</si>
  <si>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</si>
  <si>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</si>
  <si>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</si>
  <si>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</si>
  <si>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</si>
  <si>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</si>
  <si>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</si>
  <si>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</si>
  <si>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</si>
  <si>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</si>
  <si>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</si>
  <si>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</si>
  <si>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</si>
  <si>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</si>
  <si>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</si>
  <si>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</si>
  <si>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</si>
  <si>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</si>
  <si>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</si>
  <si>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</si>
  <si>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</si>
  <si>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</si>
  <si>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</si>
  <si>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</si>
  <si>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</si>
  <si>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</si>
  <si>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</si>
  <si>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</si>
  <si>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</si>
  <si>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</si>
  <si>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</si>
  <si>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</si>
  <si>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</si>
  <si>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</si>
  <si>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</si>
  <si>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</si>
  <si>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</si>
  <si>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</si>
  <si>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</si>
  <si>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</si>
  <si>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</si>
  <si>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</si>
  <si>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</si>
  <si>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</si>
  <si>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</si>
  <si>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</si>
  <si>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</si>
  <si>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</si>
  <si>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</si>
  <si>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</si>
  <si>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</si>
  <si>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</si>
  <si>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</si>
  <si>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</si>
  <si>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</si>
  <si>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</si>
  <si>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</si>
  <si>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</si>
  <si>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</si>
  <si>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</si>
  <si>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</si>
  <si>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</si>
  <si>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</si>
  <si>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</si>
  <si>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</si>
  <si>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</si>
  <si>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</si>
  <si>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</si>
  <si>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</si>
  <si>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</si>
  <si>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</si>
  <si>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</si>
  <si>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</si>
  <si>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</si>
  <si>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</si>
  <si>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</si>
  <si>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</si>
  <si>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</si>
  <si>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</si>
  <si>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</si>
  <si>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</si>
  <si>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</si>
  <si>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</si>
  <si>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</si>
  <si>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</si>
  <si>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</si>
  <si>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</si>
  <si>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</si>
  <si>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</si>
  <si>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</si>
  <si>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</si>
  <si>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</si>
  <si>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</si>
  <si>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</si>
  <si>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</si>
  <si>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</si>
  <si>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</si>
  <si>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</si>
  <si>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</si>
  <si>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</si>
  <si>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</si>
  <si>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</si>
  <si>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</si>
  <si>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</si>
  <si>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</si>
  <si>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</si>
  <si>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</si>
  <si>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</si>
  <si>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</si>
  <si>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</si>
  <si>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</si>
  <si>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</si>
  <si>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</si>
  <si>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</si>
  <si>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</si>
  <si>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</si>
  <si>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</si>
  <si>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</si>
  <si>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</si>
  <si>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</si>
  <si>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</si>
  <si>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</si>
  <si>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</si>
  <si>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</si>
  <si>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</si>
  <si>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</si>
  <si>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</si>
  <si>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</si>
  <si>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</si>
  <si>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</si>
  <si>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</si>
  <si>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</si>
  <si>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</si>
  <si>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</si>
  <si>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</si>
  <si>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</si>
  <si>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</si>
  <si>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</si>
  <si>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</si>
  <si>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</si>
  <si>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</si>
  <si>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</si>
  <si>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</si>
  <si>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</si>
  <si>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</si>
  <si>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</si>
  <si>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</si>
  <si>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</si>
  <si>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</si>
  <si>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</si>
  <si>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</si>
  <si>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</si>
  <si>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</si>
  <si>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</si>
  <si>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</si>
  <si>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</si>
  <si>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</si>
  <si>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</si>
  <si>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</si>
  <si>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</si>
  <si>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</si>
  <si>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</si>
  <si>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</si>
  <si>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</si>
  <si>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</si>
  <si>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</si>
  <si>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</si>
  <si>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</si>
  <si>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</si>
  <si>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</si>
  <si>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</si>
  <si>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</si>
  <si>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</si>
  <si>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</si>
  <si>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</si>
  <si>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</si>
  <si>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</si>
  <si>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</si>
  <si>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</si>
  <si>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</si>
  <si>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</si>
  <si>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</si>
  <si>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</si>
  <si>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</si>
  <si>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</si>
  <si>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</si>
  <si>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</si>
  <si>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</si>
  <si>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</si>
  <si>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</si>
  <si>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</si>
  <si>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</si>
  <si>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</si>
  <si>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</si>
  <si>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</si>
  <si>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</si>
  <si>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</si>
  <si>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</si>
  <si>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</si>
  <si>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</si>
  <si>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</si>
  <si>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</si>
  <si>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</si>
  <si>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</si>
  <si>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</si>
  <si>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</si>
  <si>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</si>
  <si>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</si>
  <si>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</si>
  <si>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</si>
  <si>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</si>
  <si>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</si>
  <si>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</si>
  <si>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</si>
  <si>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</si>
  <si>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</si>
  <si>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</si>
  <si>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</si>
  <si>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</si>
  <si>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</si>
  <si>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</si>
  <si>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</si>
  <si>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</si>
  <si>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</si>
  <si>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</si>
  <si>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</si>
  <si>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</si>
  <si>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</si>
  <si>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</si>
  <si>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</si>
  <si>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</si>
  <si>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</si>
  <si>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</si>
  <si>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</si>
  <si>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</si>
  <si>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</si>
  <si>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</si>
  <si>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</si>
  <si>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</si>
  <si>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</si>
  <si>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</si>
  <si>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</si>
  <si>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</si>
  <si>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</si>
  <si>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</si>
  <si>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</si>
  <si>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</si>
  <si>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</si>
  <si>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</si>
  <si>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</si>
  <si>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</si>
  <si>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</si>
  <si>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</si>
  <si>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</si>
  <si>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</si>
  <si>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</si>
  <si>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</si>
  <si>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</si>
  <si>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</si>
  <si>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</si>
  <si>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</si>
  <si>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</si>
  <si>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</si>
  <si>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</si>
  <si>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</si>
  <si>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</si>
  <si>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</si>
  <si>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</si>
  <si>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</si>
  <si>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</si>
  <si>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</si>
  <si>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</si>
  <si>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</si>
  <si>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</si>
  <si>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</si>
  <si>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</si>
  <si>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</si>
  <si>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</si>
  <si>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</si>
  <si>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</si>
  <si>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</si>
  <si>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</si>
  <si>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</si>
  <si>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</si>
  <si>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</si>
  <si>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</si>
  <si>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</si>
  <si>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</si>
  <si>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</si>
  <si>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</si>
  <si>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</si>
  <si>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</si>
  <si>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</si>
  <si>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</si>
  <si>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</si>
  <si>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</si>
  <si>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</si>
  <si>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</si>
  <si>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</si>
  <si>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</si>
  <si>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</si>
  <si>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</si>
  <si>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</si>
  <si>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</si>
  <si>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</si>
  <si>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</si>
  <si>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</si>
  <si>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</si>
  <si>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</si>
  <si>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</si>
  <si>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</si>
  <si>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</si>
  <si>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</si>
  <si>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</si>
  <si>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</si>
  <si>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</si>
  <si>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</si>
  <si>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Sedes electrónicas y servicios electrónicos</t>
  </si>
  <si>
    <t>AA WCAG 2.1</t>
  </si>
  <si>
    <t>Inicio de sesión</t>
  </si>
  <si>
    <t>EELL</t>
  </si>
  <si>
    <t>Inspección acreditada por ENAC</t>
  </si>
  <si>
    <t>Intranets y Extranets</t>
  </si>
  <si>
    <t>Otros</t>
  </si>
  <si>
    <t>Ayuda</t>
  </si>
  <si>
    <t>Mecanismo de comunicación</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</si>
  <si>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</si>
  <si>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</si>
  <si>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</si>
  <si>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</si>
  <si>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</si>
  <si>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</si>
  <si>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</si>
  <si>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</si>
  <si>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</si>
  <si>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</si>
  <si>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</si>
  <si>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</si>
  <si>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</si>
  <si>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</si>
  <si>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</si>
  <si>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</si>
  <si>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</si>
  <si>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</si>
  <si>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</si>
  <si>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</si>
  <si>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</si>
  <si>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</si>
  <si>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</si>
  <si>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</si>
  <si>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</si>
  <si>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</si>
  <si>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</si>
  <si>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</si>
  <si>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</si>
  <si>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</si>
  <si>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</si>
  <si>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</si>
  <si>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</si>
  <si>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</si>
  <si>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</si>
  <si>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SUBDIRECCIÓN GENERAL DE ADMINISTRACIÓN ELECTRÓNICA</t>
  </si>
  <si>
    <t>A13043893</t>
  </si>
  <si>
    <t>COMUNIDAD DE MADRID</t>
  </si>
  <si>
    <t>A13002908</t>
  </si>
  <si>
    <t>MADRID DIGITAL</t>
  </si>
  <si>
    <t>A13033692</t>
  </si>
  <si>
    <t>MD_CANALES_DIGITALES@madrid.org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</si>
</sst>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1">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25" fillId="2" borderId="10" xfId="21" applyFont="1" applyBorder="1" applyProtection="1">
      <alignment horizontal="center"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126">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ill>
        <patternFill>
          <bgColor rgb="FFFF0000"/>
        </patternFill>
      </fill>
    </dxf>
    <dxf>
      <fill>
        <patternFill>
          <bgColor rgb="FF00B050"/>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248250</xdr:colOff>
      <xdr:row>10</xdr:row>
      <xdr:rowOff>194040</xdr:rowOff>
    </xdr:from>
    <xdr:to>
      <xdr:col>9</xdr:col>
      <xdr:colOff>644040</xdr:colOff>
      <xdr:row>12</xdr:row>
      <xdr:rowOff>900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362920</xdr:colOff>
      <xdr:row>22</xdr:row>
      <xdr:rowOff>55938</xdr:rowOff>
    </xdr:from>
    <xdr:to>
      <xdr:col>8</xdr:col>
      <xdr:colOff>94359</xdr:colOff>
      <xdr:row>26</xdr:row>
      <xdr:rowOff>136890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135149</xdr:colOff>
      <xdr:row>100</xdr:row>
      <xdr:rowOff>96274</xdr:rowOff>
    </xdr:from>
    <xdr:to>
      <xdr:col>10</xdr:col>
      <xdr:colOff>665540</xdr:colOff>
      <xdr:row>117</xdr:row>
      <xdr:rowOff>17357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209016</xdr:colOff>
      <xdr:row>63</xdr:row>
      <xdr:rowOff>58556</xdr:rowOff>
    </xdr:from>
    <xdr:to>
      <xdr:col>10</xdr:col>
      <xdr:colOff>968413</xdr:colOff>
      <xdr:row>86</xdr:row>
      <xdr:rowOff>56726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206202</xdr:colOff>
      <xdr:row>26</xdr:row>
      <xdr:rowOff>136463</xdr:rowOff>
    </xdr:from>
    <xdr:to>
      <xdr:col>10</xdr:col>
      <xdr:colOff>782748</xdr:colOff>
      <xdr:row>43</xdr:row>
      <xdr:rowOff>135255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326789</xdr:colOff>
      <xdr:row>58</xdr:row>
      <xdr:rowOff>39621</xdr:rowOff>
    </xdr:from>
    <xdr:to>
      <xdr:col>8</xdr:col>
      <xdr:colOff>116329</xdr:colOff>
      <xdr:row>62</xdr:row>
      <xdr:rowOff>130097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18760</xdr:rowOff>
    </xdr:from>
    <xdr:to>
      <xdr:col>8</xdr:col>
      <xdr:colOff>73699</xdr:colOff>
      <xdr:row>100</xdr:row>
      <xdr:rowOff>98590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555686</xdr:colOff>
      <xdr:row>20</xdr:row>
      <xdr:rowOff>79223</xdr:rowOff>
    </xdr:from>
    <xdr:to>
      <xdr:col>8</xdr:col>
      <xdr:colOff>285221</xdr:colOff>
      <xdr:row>25</xdr:row>
      <xdr:rowOff>19627</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21877</xdr:colOff>
      <xdr:row>291</xdr:row>
      <xdr:rowOff>18041</xdr:rowOff>
    </xdr:from>
    <xdr:to>
      <xdr:col>15</xdr:col>
      <xdr:colOff>2968</xdr:colOff>
      <xdr:row>321</xdr:row>
      <xdr:rowOff>99059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359487</xdr:colOff>
      <xdr:row>252</xdr:row>
      <xdr:rowOff>134369</xdr:rowOff>
    </xdr:from>
    <xdr:to>
      <xdr:col>11</xdr:col>
      <xdr:colOff>145</xdr:colOff>
      <xdr:row>277</xdr:row>
      <xdr:rowOff>18414</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363509</xdr:colOff>
      <xdr:row>215</xdr:row>
      <xdr:rowOff>20742</xdr:rowOff>
    </xdr:from>
    <xdr:to>
      <xdr:col>11</xdr:col>
      <xdr:colOff>20253</xdr:colOff>
      <xdr:row>232</xdr:row>
      <xdr:rowOff>17357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362662</xdr:colOff>
      <xdr:row>175</xdr:row>
      <xdr:rowOff>115969</xdr:rowOff>
    </xdr:from>
    <xdr:to>
      <xdr:col>10</xdr:col>
      <xdr:colOff>968096</xdr:colOff>
      <xdr:row>195</xdr:row>
      <xdr:rowOff>131859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362175</xdr:colOff>
      <xdr:row>139</xdr:row>
      <xdr:rowOff>133480</xdr:rowOff>
    </xdr:from>
    <xdr:to>
      <xdr:col>12</xdr:col>
      <xdr:colOff>114300</xdr:colOff>
      <xdr:row>160</xdr:row>
      <xdr:rowOff>94524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16131</xdr:colOff>
      <xdr:row>100</xdr:row>
      <xdr:rowOff>131197</xdr:rowOff>
    </xdr:from>
    <xdr:to>
      <xdr:col>17</xdr:col>
      <xdr:colOff>247227</xdr:colOff>
      <xdr:row>130</xdr:row>
      <xdr:rowOff>91440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360545</xdr:colOff>
      <xdr:row>62</xdr:row>
      <xdr:rowOff>76126</xdr:rowOff>
    </xdr:from>
    <xdr:to>
      <xdr:col>11</xdr:col>
      <xdr:colOff>739140</xdr:colOff>
      <xdr:row>89</xdr:row>
      <xdr:rowOff>132249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363234</xdr:colOff>
      <xdr:row>26</xdr:row>
      <xdr:rowOff>38883</xdr:rowOff>
    </xdr:from>
    <xdr:to>
      <xdr:col>10</xdr:col>
      <xdr:colOff>969401</xdr:colOff>
      <xdr:row>49</xdr:row>
      <xdr:rowOff>130810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518073</xdr:colOff>
      <xdr:row>57</xdr:row>
      <xdr:rowOff>135717</xdr:rowOff>
    </xdr:from>
    <xdr:to>
      <xdr:col>8</xdr:col>
      <xdr:colOff>324759</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550266</xdr:colOff>
      <xdr:row>95</xdr:row>
      <xdr:rowOff>133060</xdr:rowOff>
    </xdr:from>
    <xdr:to>
      <xdr:col>8</xdr:col>
      <xdr:colOff>287421</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17286</xdr:rowOff>
    </xdr:from>
    <xdr:to>
      <xdr:col>8</xdr:col>
      <xdr:colOff>325136</xdr:colOff>
      <xdr:row>139</xdr:row>
      <xdr:rowOff>129805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554019</xdr:colOff>
      <xdr:row>171</xdr:row>
      <xdr:rowOff>94533</xdr:rowOff>
    </xdr:from>
    <xdr:to>
      <xdr:col>8</xdr:col>
      <xdr:colOff>326415</xdr:colOff>
      <xdr:row>176</xdr:row>
      <xdr:rowOff>17794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554327</xdr:colOff>
      <xdr:row>210</xdr:row>
      <xdr:rowOff>40541</xdr:rowOff>
    </xdr:from>
    <xdr:to>
      <xdr:col>8</xdr:col>
      <xdr:colOff>326723</xdr:colOff>
      <xdr:row>214</xdr:row>
      <xdr:rowOff>133705</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587119</xdr:colOff>
      <xdr:row>248</xdr:row>
      <xdr:rowOff>60555</xdr:rowOff>
    </xdr:from>
    <xdr:to>
      <xdr:col>8</xdr:col>
      <xdr:colOff>307129</xdr:colOff>
      <xdr:row>253</xdr:row>
      <xdr:rowOff>15383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359759</xdr:colOff>
      <xdr:row>290</xdr:row>
      <xdr:rowOff>129764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359435</xdr:colOff>
      <xdr:row>328</xdr:row>
      <xdr:rowOff>55394</xdr:rowOff>
    </xdr:from>
    <xdr:to>
      <xdr:col>14</xdr:col>
      <xdr:colOff>779632</xdr:colOff>
      <xdr:row>359</xdr:row>
      <xdr:rowOff>210610</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17980</xdr:colOff>
      <xdr:row>366</xdr:row>
      <xdr:rowOff>18039</xdr:rowOff>
    </xdr:from>
    <xdr:to>
      <xdr:col>14</xdr:col>
      <xdr:colOff>784068</xdr:colOff>
      <xdr:row>397</xdr:row>
      <xdr:rowOff>59390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549186</xdr:colOff>
      <xdr:row>361</xdr:row>
      <xdr:rowOff>135616</xdr:rowOff>
    </xdr:from>
    <xdr:to>
      <xdr:col>8</xdr:col>
      <xdr:colOff>323464</xdr:colOff>
      <xdr:row>366</xdr:row>
      <xdr:rowOff>17357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784068</xdr:colOff>
      <xdr:row>435</xdr:row>
      <xdr:rowOff>20570</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555959</xdr:colOff>
      <xdr:row>400</xdr:row>
      <xdr:rowOff>38100</xdr:rowOff>
    </xdr:from>
    <xdr:to>
      <xdr:col>8</xdr:col>
      <xdr:colOff>326450</xdr:colOff>
      <xdr:row>404</xdr:row>
      <xdr:rowOff>134716</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18694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555959</xdr:colOff>
      <xdr:row>438</xdr:row>
      <xdr:rowOff>38100</xdr:rowOff>
    </xdr:from>
    <xdr:to>
      <xdr:col>8</xdr:col>
      <xdr:colOff>326450</xdr:colOff>
      <xdr:row>442</xdr:row>
      <xdr:rowOff>134716</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18694</xdr:colOff>
      <xdr:row>494</xdr:row>
      <xdr:rowOff>57871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555959</xdr:colOff>
      <xdr:row>476</xdr:row>
      <xdr:rowOff>38100</xdr:rowOff>
    </xdr:from>
    <xdr:to>
      <xdr:col>8</xdr:col>
      <xdr:colOff>326450</xdr:colOff>
      <xdr:row>480</xdr:row>
      <xdr:rowOff>134716</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18694</xdr:colOff>
      <xdr:row>545</xdr:row>
      <xdr:rowOff>20420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555959</xdr:colOff>
      <xdr:row>514</xdr:row>
      <xdr:rowOff>38100</xdr:rowOff>
    </xdr:from>
    <xdr:to>
      <xdr:col>8</xdr:col>
      <xdr:colOff>326450</xdr:colOff>
      <xdr:row>518</xdr:row>
      <xdr:rowOff>134716</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18694</xdr:colOff>
      <xdr:row>576</xdr:row>
      <xdr:rowOff>53763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555959</xdr:colOff>
      <xdr:row>552</xdr:row>
      <xdr:rowOff>38100</xdr:rowOff>
    </xdr:from>
    <xdr:to>
      <xdr:col>8</xdr:col>
      <xdr:colOff>326450</xdr:colOff>
      <xdr:row>556</xdr:row>
      <xdr:rowOff>134716</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18694</xdr:colOff>
      <xdr:row>616</xdr:row>
      <xdr:rowOff>19831</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555959</xdr:colOff>
      <xdr:row>590</xdr:row>
      <xdr:rowOff>38100</xdr:rowOff>
    </xdr:from>
    <xdr:to>
      <xdr:col>8</xdr:col>
      <xdr:colOff>326450</xdr:colOff>
      <xdr:row>594</xdr:row>
      <xdr:rowOff>134716</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18694</xdr:colOff>
      <xdr:row>650</xdr:row>
      <xdr:rowOff>97415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555959</xdr:colOff>
      <xdr:row>628</xdr:row>
      <xdr:rowOff>38100</xdr:rowOff>
    </xdr:from>
    <xdr:to>
      <xdr:col>8</xdr:col>
      <xdr:colOff>326450</xdr:colOff>
      <xdr:row>632</xdr:row>
      <xdr:rowOff>134716</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18694</xdr:colOff>
      <xdr:row>691</xdr:row>
      <xdr:rowOff>60408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555959</xdr:colOff>
      <xdr:row>666</xdr:row>
      <xdr:rowOff>38100</xdr:rowOff>
    </xdr:from>
    <xdr:to>
      <xdr:col>8</xdr:col>
      <xdr:colOff>326450</xdr:colOff>
      <xdr:row>670</xdr:row>
      <xdr:rowOff>134716</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55828</xdr:rowOff>
    </xdr:from>
    <xdr:to>
      <xdr:col>11</xdr:col>
      <xdr:colOff>18694</xdr:colOff>
      <xdr:row>729</xdr:row>
      <xdr:rowOff>93274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513626</xdr:colOff>
      <xdr:row>704</xdr:row>
      <xdr:rowOff>55058</xdr:rowOff>
    </xdr:from>
    <xdr:to>
      <xdr:col>8</xdr:col>
      <xdr:colOff>287927</xdr:colOff>
      <xdr:row>708</xdr:row>
      <xdr:rowOff>134530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554143</xdr:colOff>
      <xdr:row>324</xdr:row>
      <xdr:rowOff>20108</xdr:rowOff>
    </xdr:from>
    <xdr:to>
      <xdr:col>8</xdr:col>
      <xdr:colOff>322729</xdr:colOff>
      <xdr:row>328</xdr:row>
      <xdr:rowOff>97674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588283</xdr:colOff>
      <xdr:row>20</xdr:row>
      <xdr:rowOff>110972</xdr:rowOff>
    </xdr:from>
    <xdr:to>
      <xdr:col>8</xdr:col>
      <xdr:colOff>325438</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15284</xdr:colOff>
      <xdr:row>100</xdr:row>
      <xdr:rowOff>54151</xdr:rowOff>
    </xdr:from>
    <xdr:to>
      <xdr:col>11</xdr:col>
      <xdr:colOff>18200</xdr:colOff>
      <xdr:row>120</xdr:row>
      <xdr:rowOff>95250</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361392</xdr:colOff>
      <xdr:row>62</xdr:row>
      <xdr:rowOff>135815</xdr:rowOff>
    </xdr:from>
    <xdr:to>
      <xdr:col>11</xdr:col>
      <xdr:colOff>19195</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363234</xdr:colOff>
      <xdr:row>25</xdr:row>
      <xdr:rowOff>59627</xdr:rowOff>
    </xdr:from>
    <xdr:to>
      <xdr:col>11</xdr:col>
      <xdr:colOff>817684</xdr:colOff>
      <xdr:row>52</xdr:row>
      <xdr:rowOff>134738</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475105</xdr:colOff>
      <xdr:row>58</xdr:row>
      <xdr:rowOff>20571</xdr:rowOff>
    </xdr:from>
    <xdr:to>
      <xdr:col>8</xdr:col>
      <xdr:colOff>247501</xdr:colOff>
      <xdr:row>62</xdr:row>
      <xdr:rowOff>93903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556193</xdr:colOff>
      <xdr:row>95</xdr:row>
      <xdr:rowOff>134753</xdr:rowOff>
    </xdr:from>
    <xdr:to>
      <xdr:col>8</xdr:col>
      <xdr:colOff>285728</xdr:colOff>
      <xdr:row>100</xdr:row>
      <xdr:rowOff>60278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20532</xdr:colOff>
      <xdr:row>328</xdr:row>
      <xdr:rowOff>133168</xdr:rowOff>
    </xdr:from>
    <xdr:to>
      <xdr:col>11</xdr:col>
      <xdr:colOff>816360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359199</xdr:colOff>
      <xdr:row>291</xdr:row>
      <xdr:rowOff>54787</xdr:rowOff>
    </xdr:from>
    <xdr:to>
      <xdr:col>11</xdr:col>
      <xdr:colOff>19753</xdr:colOff>
      <xdr:row>304</xdr:row>
      <xdr:rowOff>58796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359198</xdr:colOff>
      <xdr:row>253</xdr:row>
      <xdr:rowOff>91483</xdr:rowOff>
    </xdr:from>
    <xdr:to>
      <xdr:col>11</xdr:col>
      <xdr:colOff>15730</xdr:colOff>
      <xdr:row>265</xdr:row>
      <xdr:rowOff>96403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21315</xdr:colOff>
      <xdr:row>214</xdr:row>
      <xdr:rowOff>56080</xdr:rowOff>
    </xdr:from>
    <xdr:to>
      <xdr:col>11</xdr:col>
      <xdr:colOff>16611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554037</xdr:colOff>
      <xdr:row>209</xdr:row>
      <xdr:rowOff>133350</xdr:rowOff>
    </xdr:from>
    <xdr:to>
      <xdr:col>8</xdr:col>
      <xdr:colOff>304527</xdr:colOff>
      <xdr:row>214</xdr:row>
      <xdr:rowOff>55369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515206</xdr:colOff>
      <xdr:row>248</xdr:row>
      <xdr:rowOff>58619</xdr:rowOff>
    </xdr:from>
    <xdr:to>
      <xdr:col>8</xdr:col>
      <xdr:colOff>304747</xdr:colOff>
      <xdr:row>252</xdr:row>
      <xdr:rowOff>133855</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555096</xdr:colOff>
      <xdr:row>286</xdr:row>
      <xdr:rowOff>79768</xdr:rowOff>
    </xdr:from>
    <xdr:to>
      <xdr:col>8</xdr:col>
      <xdr:colOff>359877</xdr:colOff>
      <xdr:row>291</xdr:row>
      <xdr:rowOff>20531</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552329</xdr:colOff>
      <xdr:row>323</xdr:row>
      <xdr:rowOff>110577</xdr:rowOff>
    </xdr:from>
    <xdr:to>
      <xdr:col>8</xdr:col>
      <xdr:colOff>289484</xdr:colOff>
      <xdr:row>328</xdr:row>
      <xdr:rowOff>53551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590550</xdr:colOff>
      <xdr:row>133</xdr:row>
      <xdr:rowOff>97155</xdr:rowOff>
    </xdr:from>
    <xdr:to>
      <xdr:col>8</xdr:col>
      <xdr:colOff>320085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587587</xdr:colOff>
      <xdr:row>172</xdr:row>
      <xdr:rowOff>22014</xdr:rowOff>
    </xdr:from>
    <xdr:to>
      <xdr:col>8</xdr:col>
      <xdr:colOff>324742</xdr:colOff>
      <xdr:row>176</xdr:row>
      <xdr:rowOff>97610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358987</xdr:colOff>
      <xdr:row>138</xdr:row>
      <xdr:rowOff>113242</xdr:rowOff>
    </xdr:from>
    <xdr:to>
      <xdr:col>10</xdr:col>
      <xdr:colOff>954358</xdr:colOff>
      <xdr:row>160</xdr:row>
      <xdr:rowOff>20109</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19050</xdr:colOff>
      <xdr:row>176</xdr:row>
      <xdr:rowOff>132714</xdr:rowOff>
    </xdr:from>
    <xdr:to>
      <xdr:col>11</xdr:col>
      <xdr:colOff>16251</xdr:colOff>
      <xdr:row>204</xdr:row>
      <xdr:rowOff>18414</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591246</xdr:colOff>
      <xdr:row>19</xdr:row>
      <xdr:rowOff>96155</xdr:rowOff>
    </xdr:from>
    <xdr:to>
      <xdr:col>8</xdr:col>
      <xdr:colOff>322686</xdr:colOff>
      <xdr:row>24</xdr:row>
      <xdr:rowOff>21320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22408</xdr:colOff>
      <xdr:row>670</xdr:row>
      <xdr:rowOff>19135</xdr:rowOff>
    </xdr:from>
    <xdr:to>
      <xdr:col>11</xdr:col>
      <xdr:colOff>591608</xdr:colOff>
      <xdr:row>701</xdr:row>
      <xdr:rowOff>208917</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15664</xdr:colOff>
      <xdr:row>708</xdr:row>
      <xdr:rowOff>53457</xdr:rowOff>
    </xdr:from>
    <xdr:to>
      <xdr:col>12</xdr:col>
      <xdr:colOff>514774</xdr:colOff>
      <xdr:row>739</xdr:row>
      <xdr:rowOff>244263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17117</xdr:colOff>
      <xdr:row>632</xdr:row>
      <xdr:rowOff>93443</xdr:rowOff>
    </xdr:from>
    <xdr:to>
      <xdr:col>11</xdr:col>
      <xdr:colOff>18666</xdr:colOff>
      <xdr:row>663</xdr:row>
      <xdr:rowOff>92287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21562</xdr:colOff>
      <xdr:row>595</xdr:row>
      <xdr:rowOff>41645</xdr:rowOff>
    </xdr:from>
    <xdr:to>
      <xdr:col>11</xdr:col>
      <xdr:colOff>57401</xdr:colOff>
      <xdr:row>623</xdr:row>
      <xdr:rowOff>56726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21562</xdr:colOff>
      <xdr:row>556</xdr:row>
      <xdr:rowOff>95479</xdr:rowOff>
    </xdr:from>
    <xdr:to>
      <xdr:col>11</xdr:col>
      <xdr:colOff>57401</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21562</xdr:colOff>
      <xdr:row>518</xdr:row>
      <xdr:rowOff>22751</xdr:rowOff>
    </xdr:from>
    <xdr:to>
      <xdr:col>11</xdr:col>
      <xdr:colOff>57401</xdr:colOff>
      <xdr:row>533</xdr:row>
      <xdr:rowOff>17357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969761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95990</xdr:rowOff>
    </xdr:from>
    <xdr:to>
      <xdr:col>11</xdr:col>
      <xdr:colOff>59215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16392</xdr:colOff>
      <xdr:row>405</xdr:row>
      <xdr:rowOff>16396</xdr:rowOff>
    </xdr:from>
    <xdr:to>
      <xdr:col>11</xdr:col>
      <xdr:colOff>19846</xdr:colOff>
      <xdr:row>427</xdr:row>
      <xdr:rowOff>59690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130251</xdr:rowOff>
    </xdr:from>
    <xdr:to>
      <xdr:col>11</xdr:col>
      <xdr:colOff>16126</xdr:colOff>
      <xdr:row>392</xdr:row>
      <xdr:rowOff>20109</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358836</xdr:colOff>
      <xdr:row>329</xdr:row>
      <xdr:rowOff>1530</xdr:rowOff>
    </xdr:from>
    <xdr:to>
      <xdr:col>11</xdr:col>
      <xdr:colOff>1611</xdr:colOff>
      <xdr:row>345</xdr:row>
      <xdr:rowOff>59690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59389</xdr:colOff>
      <xdr:row>290</xdr:row>
      <xdr:rowOff>96551</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20836</xdr:colOff>
      <xdr:row>252</xdr:row>
      <xdr:rowOff>92427</xdr:rowOff>
    </xdr:from>
    <xdr:to>
      <xdr:col>11</xdr:col>
      <xdr:colOff>39530</xdr:colOff>
      <xdr:row>267</xdr:row>
      <xdr:rowOff>59690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20836</xdr:colOff>
      <xdr:row>214</xdr:row>
      <xdr:rowOff>15717</xdr:rowOff>
    </xdr:from>
    <xdr:to>
      <xdr:col>11</xdr:col>
      <xdr:colOff>39530</xdr:colOff>
      <xdr:row>229</xdr:row>
      <xdr:rowOff>20108</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17117</xdr:colOff>
      <xdr:row>177</xdr:row>
      <xdr:rowOff>15528</xdr:rowOff>
    </xdr:from>
    <xdr:to>
      <xdr:col>11</xdr:col>
      <xdr:colOff>266700</xdr:colOff>
      <xdr:row>190</xdr:row>
      <xdr:rowOff>96116</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60096</xdr:colOff>
      <xdr:row>139</xdr:row>
      <xdr:rowOff>18272</xdr:rowOff>
    </xdr:from>
    <xdr:to>
      <xdr:col>11</xdr:col>
      <xdr:colOff>59929</xdr:colOff>
      <xdr:row>157</xdr:row>
      <xdr:rowOff>133773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57677</xdr:colOff>
      <xdr:row>100</xdr:row>
      <xdr:rowOff>60652</xdr:rowOff>
    </xdr:from>
    <xdr:to>
      <xdr:col>11</xdr:col>
      <xdr:colOff>60594</xdr:colOff>
      <xdr:row>116</xdr:row>
      <xdr:rowOff>98214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56804</xdr:colOff>
      <xdr:row>62</xdr:row>
      <xdr:rowOff>94903</xdr:rowOff>
    </xdr:from>
    <xdr:to>
      <xdr:col>11</xdr:col>
      <xdr:colOff>438150</xdr:colOff>
      <xdr:row>84</xdr:row>
      <xdr:rowOff>91440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591945</xdr:colOff>
      <xdr:row>57</xdr:row>
      <xdr:rowOff>133329</xdr:rowOff>
    </xdr:from>
    <xdr:to>
      <xdr:col>8</xdr:col>
      <xdr:colOff>364341</xdr:colOff>
      <xdr:row>62</xdr:row>
      <xdr:rowOff>60398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627373</xdr:colOff>
      <xdr:row>95</xdr:row>
      <xdr:rowOff>132153</xdr:rowOff>
    </xdr:from>
    <xdr:to>
      <xdr:col>8</xdr:col>
      <xdr:colOff>358813</xdr:colOff>
      <xdr:row>100</xdr:row>
      <xdr:rowOff>56619</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587890</xdr:colOff>
      <xdr:row>134</xdr:row>
      <xdr:rowOff>15746</xdr:rowOff>
    </xdr:from>
    <xdr:to>
      <xdr:col>8</xdr:col>
      <xdr:colOff>340285</xdr:colOff>
      <xdr:row>138</xdr:row>
      <xdr:rowOff>94365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474423</xdr:colOff>
      <xdr:row>172</xdr:row>
      <xdr:rowOff>57202</xdr:rowOff>
    </xdr:from>
    <xdr:to>
      <xdr:col>8</xdr:col>
      <xdr:colOff>269679</xdr:colOff>
      <xdr:row>176</xdr:row>
      <xdr:rowOff>134309</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94300</xdr:rowOff>
    </xdr:from>
    <xdr:to>
      <xdr:col>8</xdr:col>
      <xdr:colOff>288518</xdr:colOff>
      <xdr:row>214</xdr:row>
      <xdr:rowOff>21612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132723</xdr:rowOff>
    </xdr:from>
    <xdr:to>
      <xdr:col>8</xdr:col>
      <xdr:colOff>320828</xdr:colOff>
      <xdr:row>252</xdr:row>
      <xdr:rowOff>95987</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588331</xdr:colOff>
      <xdr:row>285</xdr:row>
      <xdr:rowOff>112981</xdr:rowOff>
    </xdr:from>
    <xdr:to>
      <xdr:col>8</xdr:col>
      <xdr:colOff>325486</xdr:colOff>
      <xdr:row>290</xdr:row>
      <xdr:rowOff>57196</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549747</xdr:colOff>
      <xdr:row>324</xdr:row>
      <xdr:rowOff>16871</xdr:rowOff>
    </xdr:from>
    <xdr:to>
      <xdr:col>8</xdr:col>
      <xdr:colOff>286902</xdr:colOff>
      <xdr:row>328</xdr:row>
      <xdr:rowOff>94315</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511693</xdr:colOff>
      <xdr:row>361</xdr:row>
      <xdr:rowOff>132859</xdr:rowOff>
    </xdr:from>
    <xdr:to>
      <xdr:col>8</xdr:col>
      <xdr:colOff>285994</xdr:colOff>
      <xdr:row>366</xdr:row>
      <xdr:rowOff>58753</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554224</xdr:colOff>
      <xdr:row>400</xdr:row>
      <xdr:rowOff>18857</xdr:rowOff>
    </xdr:from>
    <xdr:to>
      <xdr:col>8</xdr:col>
      <xdr:colOff>285664</xdr:colOff>
      <xdr:row>404</xdr:row>
      <xdr:rowOff>94516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550972</xdr:colOff>
      <xdr:row>438</xdr:row>
      <xdr:rowOff>20151</xdr:rowOff>
    </xdr:from>
    <xdr:to>
      <xdr:col>8</xdr:col>
      <xdr:colOff>323368</xdr:colOff>
      <xdr:row>442</xdr:row>
      <xdr:rowOff>95872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553342</xdr:colOff>
      <xdr:row>476</xdr:row>
      <xdr:rowOff>35424</xdr:rowOff>
    </xdr:from>
    <xdr:to>
      <xdr:col>8</xdr:col>
      <xdr:colOff>288592</xdr:colOff>
      <xdr:row>480</xdr:row>
      <xdr:rowOff>98774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511798</xdr:colOff>
      <xdr:row>513</xdr:row>
      <xdr:rowOff>132626</xdr:rowOff>
    </xdr:from>
    <xdr:to>
      <xdr:col>8</xdr:col>
      <xdr:colOff>286099</xdr:colOff>
      <xdr:row>518</xdr:row>
      <xdr:rowOff>57036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554949</xdr:colOff>
      <xdr:row>552</xdr:row>
      <xdr:rowOff>39762</xdr:rowOff>
    </xdr:from>
    <xdr:to>
      <xdr:col>8</xdr:col>
      <xdr:colOff>284484</xdr:colOff>
      <xdr:row>556</xdr:row>
      <xdr:rowOff>130238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550504</xdr:colOff>
      <xdr:row>590</xdr:row>
      <xdr:rowOff>135762</xdr:rowOff>
    </xdr:from>
    <xdr:to>
      <xdr:col>8</xdr:col>
      <xdr:colOff>281944</xdr:colOff>
      <xdr:row>595</xdr:row>
      <xdr:rowOff>57511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550504</xdr:colOff>
      <xdr:row>628</xdr:row>
      <xdr:rowOff>22203</xdr:rowOff>
    </xdr:from>
    <xdr:to>
      <xdr:col>8</xdr:col>
      <xdr:colOff>281944</xdr:colOff>
      <xdr:row>632</xdr:row>
      <xdr:rowOff>96583</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513495</xdr:colOff>
      <xdr:row>703</xdr:row>
      <xdr:rowOff>131725</xdr:rowOff>
    </xdr:from>
    <xdr:to>
      <xdr:col>8</xdr:col>
      <xdr:colOff>244935</xdr:colOff>
      <xdr:row>708</xdr:row>
      <xdr:rowOff>55196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555270</xdr:colOff>
      <xdr:row>665</xdr:row>
      <xdr:rowOff>132056</xdr:rowOff>
    </xdr:from>
    <xdr:to>
      <xdr:col>8</xdr:col>
      <xdr:colOff>288615</xdr:colOff>
      <xdr:row>670</xdr:row>
      <xdr:rowOff>18396</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21128</xdr:colOff>
      <xdr:row>24</xdr:row>
      <xdr:rowOff>58329</xdr:rowOff>
    </xdr:from>
    <xdr:to>
      <xdr:col>19</xdr:col>
      <xdr:colOff>591608</xdr:colOff>
      <xdr:row>55</xdr:row>
      <xdr:rowOff>286616</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57237</xdr:rowOff>
    </xdr:from>
    <xdr:to>
      <xdr:col>12</xdr:col>
      <xdr:colOff>92287</xdr:colOff>
      <xdr:row>777</xdr:row>
      <xdr:rowOff>20110</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362132</xdr:colOff>
      <xdr:row>936</xdr:row>
      <xdr:rowOff>92026</xdr:rowOff>
    </xdr:from>
    <xdr:to>
      <xdr:col>11</xdr:col>
      <xdr:colOff>320720</xdr:colOff>
      <xdr:row>959</xdr:row>
      <xdr:rowOff>136736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365612</xdr:colOff>
      <xdr:row>824</xdr:row>
      <xdr:rowOff>58929</xdr:rowOff>
    </xdr:from>
    <xdr:to>
      <xdr:col>11</xdr:col>
      <xdr:colOff>20536</xdr:colOff>
      <xdr:row>852</xdr:row>
      <xdr:rowOff>56726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94686</xdr:rowOff>
    </xdr:from>
    <xdr:to>
      <xdr:col>11</xdr:col>
      <xdr:colOff>3681</xdr:colOff>
      <xdr:row>812</xdr:row>
      <xdr:rowOff>98213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286295</xdr:colOff>
      <xdr:row>746</xdr:row>
      <xdr:rowOff>58339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551744</xdr:colOff>
      <xdr:row>779</xdr:row>
      <xdr:rowOff>132593</xdr:rowOff>
    </xdr:from>
    <xdr:to>
      <xdr:col>8</xdr:col>
      <xdr:colOff>288085</xdr:colOff>
      <xdr:row>784</xdr:row>
      <xdr:rowOff>54383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56569</xdr:rowOff>
    </xdr:from>
    <xdr:to>
      <xdr:col>8</xdr:col>
      <xdr:colOff>326893</xdr:colOff>
      <xdr:row>822</xdr:row>
      <xdr:rowOff>136831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553992</xdr:colOff>
      <xdr:row>855</xdr:row>
      <xdr:rowOff>133737</xdr:rowOff>
    </xdr:from>
    <xdr:to>
      <xdr:col>8</xdr:col>
      <xdr:colOff>327342</xdr:colOff>
      <xdr:row>860</xdr:row>
      <xdr:rowOff>95153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513757</xdr:colOff>
      <xdr:row>931</xdr:row>
      <xdr:rowOff>97709</xdr:rowOff>
    </xdr:from>
    <xdr:to>
      <xdr:col>8</xdr:col>
      <xdr:colOff>339626</xdr:colOff>
      <xdr:row>936</xdr:row>
      <xdr:rowOff>92995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553568</xdr:colOff>
      <xdr:row>1083</xdr:row>
      <xdr:rowOff>96196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549036</xdr:colOff>
      <xdr:row>1159</xdr:row>
      <xdr:rowOff>80005</xdr:rowOff>
    </xdr:from>
    <xdr:to>
      <xdr:col>8</xdr:col>
      <xdr:colOff>289187</xdr:colOff>
      <xdr:row>1164</xdr:row>
      <xdr:rowOff>91820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553387</xdr:colOff>
      <xdr:row>1197</xdr:row>
      <xdr:rowOff>130950</xdr:rowOff>
    </xdr:from>
    <xdr:to>
      <xdr:col>8</xdr:col>
      <xdr:colOff>305994</xdr:colOff>
      <xdr:row>1203</xdr:row>
      <xdr:rowOff>22620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552471</xdr:colOff>
      <xdr:row>1236</xdr:row>
      <xdr:rowOff>18999</xdr:rowOff>
    </xdr:from>
    <xdr:to>
      <xdr:col>8</xdr:col>
      <xdr:colOff>301268</xdr:colOff>
      <xdr:row>1241</xdr:row>
      <xdr:rowOff>60321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589355</xdr:colOff>
      <xdr:row>1273</xdr:row>
      <xdr:rowOff>130532</xdr:rowOff>
    </xdr:from>
    <xdr:to>
      <xdr:col>8</xdr:col>
      <xdr:colOff>321886</xdr:colOff>
      <xdr:row>1278</xdr:row>
      <xdr:rowOff>16516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513577</xdr:colOff>
      <xdr:row>1312</xdr:row>
      <xdr:rowOff>38906</xdr:rowOff>
    </xdr:from>
    <xdr:to>
      <xdr:col>8</xdr:col>
      <xdr:colOff>283329</xdr:colOff>
      <xdr:row>1316</xdr:row>
      <xdr:rowOff>132732</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553582</xdr:colOff>
      <xdr:row>1349</xdr:row>
      <xdr:rowOff>97969</xdr:rowOff>
    </xdr:from>
    <xdr:to>
      <xdr:col>8</xdr:col>
      <xdr:colOff>323334</xdr:colOff>
      <xdr:row>1354</xdr:row>
      <xdr:rowOff>57527</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327543</xdr:colOff>
      <xdr:row>860</xdr:row>
      <xdr:rowOff>17798</xdr:rowOff>
    </xdr:from>
    <xdr:to>
      <xdr:col>15</xdr:col>
      <xdr:colOff>321309</xdr:colOff>
      <xdr:row>891</xdr:row>
      <xdr:rowOff>210608</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20109</xdr:colOff>
      <xdr:row>929</xdr:row>
      <xdr:rowOff>210610</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283075</xdr:colOff>
      <xdr:row>1050</xdr:row>
      <xdr:rowOff>135927</xdr:rowOff>
    </xdr:from>
    <xdr:to>
      <xdr:col>10</xdr:col>
      <xdr:colOff>929779</xdr:colOff>
      <xdr:row>1067</xdr:row>
      <xdr:rowOff>98214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19719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135557</xdr:rowOff>
    </xdr:from>
    <xdr:to>
      <xdr:col>11</xdr:col>
      <xdr:colOff>20631</xdr:colOff>
      <xdr:row>1182</xdr:row>
      <xdr:rowOff>96116</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57520</xdr:rowOff>
    </xdr:from>
    <xdr:to>
      <xdr:col>11</xdr:col>
      <xdr:colOff>19813</xdr:colOff>
      <xdr:row>1218</xdr:row>
      <xdr:rowOff>21128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19422</xdr:colOff>
      <xdr:row>1241</xdr:row>
      <xdr:rowOff>133024</xdr:rowOff>
    </xdr:from>
    <xdr:to>
      <xdr:col>11</xdr:col>
      <xdr:colOff>60878</xdr:colOff>
      <xdr:row>1258</xdr:row>
      <xdr:rowOff>59690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362094</xdr:colOff>
      <xdr:row>1277</xdr:row>
      <xdr:rowOff>93358</xdr:rowOff>
    </xdr:from>
    <xdr:to>
      <xdr:col>11</xdr:col>
      <xdr:colOff>479214</xdr:colOff>
      <xdr:row>1308</xdr:row>
      <xdr:rowOff>56727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320198</xdr:colOff>
      <xdr:row>1317</xdr:row>
      <xdr:rowOff>94403</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19208</xdr:colOff>
      <xdr:row>1355</xdr:row>
      <xdr:rowOff>1194</xdr:rowOff>
    </xdr:from>
    <xdr:to>
      <xdr:col>11</xdr:col>
      <xdr:colOff>79686</xdr:colOff>
      <xdr:row>1381</xdr:row>
      <xdr:rowOff>98213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94620</xdr:rowOff>
    </xdr:from>
    <xdr:to>
      <xdr:col>10</xdr:col>
      <xdr:colOff>607644</xdr:colOff>
      <xdr:row>1405</xdr:row>
      <xdr:rowOff>94384</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550279</xdr:colOff>
      <xdr:row>1387</xdr:row>
      <xdr:rowOff>136631</xdr:rowOff>
    </xdr:from>
    <xdr:to>
      <xdr:col>8</xdr:col>
      <xdr:colOff>320796</xdr:colOff>
      <xdr:row>1392</xdr:row>
      <xdr:rowOff>96314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553967</xdr:colOff>
      <xdr:row>1464</xdr:row>
      <xdr:rowOff>15730</xdr:rowOff>
    </xdr:from>
    <xdr:to>
      <xdr:col>8</xdr:col>
      <xdr:colOff>308292</xdr:colOff>
      <xdr:row>1468</xdr:row>
      <xdr:rowOff>134570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517136</xdr:colOff>
      <xdr:row>1501</xdr:row>
      <xdr:rowOff>114724</xdr:rowOff>
    </xdr:from>
    <xdr:to>
      <xdr:col>8</xdr:col>
      <xdr:colOff>250506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552701</xdr:colOff>
      <xdr:row>1616</xdr:row>
      <xdr:rowOff>22213</xdr:rowOff>
    </xdr:from>
    <xdr:to>
      <xdr:col>8</xdr:col>
      <xdr:colOff>286706</xdr:colOff>
      <xdr:row>1620</xdr:row>
      <xdr:rowOff>129623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553336</xdr:colOff>
      <xdr:row>1653</xdr:row>
      <xdr:rowOff>92876</xdr:rowOff>
    </xdr:from>
    <xdr:to>
      <xdr:col>8</xdr:col>
      <xdr:colOff>289246</xdr:colOff>
      <xdr:row>1658</xdr:row>
      <xdr:rowOff>57651</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517378</xdr:colOff>
      <xdr:row>1692</xdr:row>
      <xdr:rowOff>54164</xdr:rowOff>
    </xdr:from>
    <xdr:to>
      <xdr:col>8</xdr:col>
      <xdr:colOff>268528</xdr:colOff>
      <xdr:row>1697</xdr:row>
      <xdr:rowOff>18051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21319</xdr:rowOff>
    </xdr:from>
    <xdr:to>
      <xdr:col>10</xdr:col>
      <xdr:colOff>934402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20002</xdr:colOff>
      <xdr:row>1506</xdr:row>
      <xdr:rowOff>132067</xdr:rowOff>
    </xdr:from>
    <xdr:to>
      <xdr:col>11</xdr:col>
      <xdr:colOff>2268</xdr:colOff>
      <xdr:row>1523</xdr:row>
      <xdr:rowOff>53764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15558</xdr:colOff>
      <xdr:row>1620</xdr:row>
      <xdr:rowOff>134147</xdr:rowOff>
    </xdr:from>
    <xdr:to>
      <xdr:col>10</xdr:col>
      <xdr:colOff>892493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15558</xdr:colOff>
      <xdr:row>1658</xdr:row>
      <xdr:rowOff>78630</xdr:rowOff>
    </xdr:from>
    <xdr:to>
      <xdr:col>10</xdr:col>
      <xdr:colOff>932498</xdr:colOff>
      <xdr:row>1671</xdr:row>
      <xdr:rowOff>55765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22648</xdr:colOff>
      <xdr:row>1697</xdr:row>
      <xdr:rowOff>95715</xdr:rowOff>
    </xdr:from>
    <xdr:to>
      <xdr:col>10</xdr:col>
      <xdr:colOff>898419</xdr:colOff>
      <xdr:row>1714</xdr:row>
      <xdr:rowOff>20108</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363404</xdr:colOff>
      <xdr:row>1734</xdr:row>
      <xdr:rowOff>133666</xdr:rowOff>
    </xdr:from>
    <xdr:to>
      <xdr:col>12</xdr:col>
      <xdr:colOff>553086</xdr:colOff>
      <xdr:row>1762</xdr:row>
      <xdr:rowOff>130810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17100</xdr:colOff>
      <xdr:row>1772</xdr:row>
      <xdr:rowOff>134649</xdr:rowOff>
    </xdr:from>
    <xdr:to>
      <xdr:col>10</xdr:col>
      <xdr:colOff>858356</xdr:colOff>
      <xdr:row>1799</xdr:row>
      <xdr:rowOff>130810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17678</xdr:colOff>
      <xdr:row>1810</xdr:row>
      <xdr:rowOff>135686</xdr:rowOff>
    </xdr:from>
    <xdr:to>
      <xdr:col>11</xdr:col>
      <xdr:colOff>0</xdr:colOff>
      <xdr:row>1841</xdr:row>
      <xdr:rowOff>130810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554276</xdr:colOff>
      <xdr:row>1768</xdr:row>
      <xdr:rowOff>22384</xdr:rowOff>
    </xdr:from>
    <xdr:to>
      <xdr:col>8</xdr:col>
      <xdr:colOff>286826</xdr:colOff>
      <xdr:row>1772</xdr:row>
      <xdr:rowOff>94534</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512464</xdr:colOff>
      <xdr:row>1805</xdr:row>
      <xdr:rowOff>130180</xdr:rowOff>
    </xdr:from>
    <xdr:to>
      <xdr:col>8</xdr:col>
      <xdr:colOff>250729</xdr:colOff>
      <xdr:row>1810</xdr:row>
      <xdr:rowOff>96650</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15558</xdr:colOff>
      <xdr:row>974</xdr:row>
      <xdr:rowOff>133203</xdr:rowOff>
    </xdr:from>
    <xdr:to>
      <xdr:col>11</xdr:col>
      <xdr:colOff>58093</xdr:colOff>
      <xdr:row>987</xdr:row>
      <xdr:rowOff>98309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629623</xdr:colOff>
      <xdr:row>970</xdr:row>
      <xdr:rowOff>16510</xdr:rowOff>
    </xdr:from>
    <xdr:to>
      <xdr:col>8</xdr:col>
      <xdr:colOff>363603</xdr:colOff>
      <xdr:row>974</xdr:row>
      <xdr:rowOff>60420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20003</xdr:colOff>
      <xdr:row>1012</xdr:row>
      <xdr:rowOff>41395</xdr:rowOff>
    </xdr:from>
    <xdr:to>
      <xdr:col>11</xdr:col>
      <xdr:colOff>97368</xdr:colOff>
      <xdr:row>1025</xdr:row>
      <xdr:rowOff>16026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97790</xdr:rowOff>
    </xdr:from>
    <xdr:to>
      <xdr:col>8</xdr:col>
      <xdr:colOff>345728</xdr:colOff>
      <xdr:row>1012</xdr:row>
      <xdr:rowOff>20655</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591503</xdr:colOff>
      <xdr:row>1046</xdr:row>
      <xdr:rowOff>16510</xdr:rowOff>
    </xdr:from>
    <xdr:to>
      <xdr:col>8</xdr:col>
      <xdr:colOff>323578</xdr:colOff>
      <xdr:row>1050</xdr:row>
      <xdr:rowOff>60660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20003</xdr:colOff>
      <xdr:row>1126</xdr:row>
      <xdr:rowOff>78645</xdr:rowOff>
    </xdr:from>
    <xdr:to>
      <xdr:col>11</xdr:col>
      <xdr:colOff>40084</xdr:colOff>
      <xdr:row>1142</xdr:row>
      <xdr:rowOff>136736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630029</xdr:colOff>
      <xdr:row>1122</xdr:row>
      <xdr:rowOff>20955</xdr:rowOff>
    </xdr:from>
    <xdr:to>
      <xdr:col>8</xdr:col>
      <xdr:colOff>360199</xdr:colOff>
      <xdr:row>1126</xdr:row>
      <xdr:rowOff>91535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20638</xdr:colOff>
      <xdr:row>1430</xdr:row>
      <xdr:rowOff>93034</xdr:rowOff>
    </xdr:from>
    <xdr:to>
      <xdr:col>10</xdr:col>
      <xdr:colOff>898208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588123</xdr:colOff>
      <xdr:row>1425</xdr:row>
      <xdr:rowOff>129540</xdr:rowOff>
    </xdr:from>
    <xdr:to>
      <xdr:col>8</xdr:col>
      <xdr:colOff>320858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20003</xdr:colOff>
      <xdr:row>1544</xdr:row>
      <xdr:rowOff>136241</xdr:rowOff>
    </xdr:from>
    <xdr:to>
      <xdr:col>10</xdr:col>
      <xdr:colOff>822008</xdr:colOff>
      <xdr:row>1563</xdr:row>
      <xdr:rowOff>17357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513923</xdr:colOff>
      <xdr:row>1540</xdr:row>
      <xdr:rowOff>57785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513187</xdr:colOff>
      <xdr:row>1578</xdr:row>
      <xdr:rowOff>2116</xdr:rowOff>
    </xdr:from>
    <xdr:to>
      <xdr:col>8</xdr:col>
      <xdr:colOff>287197</xdr:colOff>
      <xdr:row>1582</xdr:row>
      <xdr:rowOff>131102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134831</xdr:rowOff>
    </xdr:from>
    <xdr:to>
      <xdr:col>14</xdr:col>
      <xdr:colOff>589741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551498</xdr:colOff>
      <xdr:row>1729</xdr:row>
      <xdr:rowOff>129540</xdr:rowOff>
    </xdr:from>
    <xdr:to>
      <xdr:col>8</xdr:col>
      <xdr:colOff>284048</xdr:colOff>
      <xdr:row>1734</xdr:row>
      <xdr:rowOff>96010</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98624</xdr:rowOff>
    </xdr:from>
    <xdr:to>
      <xdr:col>10</xdr:col>
      <xdr:colOff>932333</xdr:colOff>
      <xdr:row>1865</xdr:row>
      <xdr:rowOff>57618</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550808</xdr:colOff>
      <xdr:row>1843</xdr:row>
      <xdr:rowOff>112712</xdr:rowOff>
    </xdr:from>
    <xdr:to>
      <xdr:col>8</xdr:col>
      <xdr:colOff>286533</xdr:colOff>
      <xdr:row>1848</xdr:row>
      <xdr:rowOff>94880</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551620</xdr:colOff>
      <xdr:row>893</xdr:row>
      <xdr:rowOff>98519</xdr:rowOff>
    </xdr:from>
    <xdr:to>
      <xdr:col>8</xdr:col>
      <xdr:colOff>324992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94376</xdr:rowOff>
    </xdr:from>
    <xdr:to>
      <xdr:col>11</xdr:col>
      <xdr:colOff>1059</xdr:colOff>
      <xdr:row>1923</xdr:row>
      <xdr:rowOff>93023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594335</xdr:colOff>
      <xdr:row>1882</xdr:row>
      <xdr:rowOff>60416</xdr:rowOff>
    </xdr:from>
    <xdr:to>
      <xdr:col>8</xdr:col>
      <xdr:colOff>322501</xdr:colOff>
      <xdr:row>1887</xdr:row>
      <xdr:rowOff>55979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22167</xdr:colOff>
      <xdr:row>215</xdr:row>
      <xdr:rowOff>54133</xdr:rowOff>
    </xdr:from>
    <xdr:to>
      <xdr:col>11</xdr:col>
      <xdr:colOff>172719</xdr:colOff>
      <xdr:row>229</xdr:row>
      <xdr:rowOff>130406</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21780</xdr:rowOff>
    </xdr:from>
    <xdr:to>
      <xdr:col>11</xdr:col>
      <xdr:colOff>167640</xdr:colOff>
      <xdr:row>195</xdr:row>
      <xdr:rowOff>134620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91710</xdr:rowOff>
    </xdr:from>
    <xdr:to>
      <xdr:col>11</xdr:col>
      <xdr:colOff>19272</xdr:colOff>
      <xdr:row>164</xdr:row>
      <xdr:rowOff>18076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17145</xdr:colOff>
      <xdr:row>120</xdr:row>
      <xdr:rowOff>94403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359198</xdr:colOff>
      <xdr:row>63</xdr:row>
      <xdr:rowOff>20579</xdr:rowOff>
    </xdr:from>
    <xdr:to>
      <xdr:col>11</xdr:col>
      <xdr:colOff>22344</xdr:colOff>
      <xdr:row>77</xdr:row>
      <xdr:rowOff>94403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134619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516170</xdr:colOff>
      <xdr:row>21</xdr:row>
      <xdr:rowOff>53975</xdr:rowOff>
    </xdr:from>
    <xdr:to>
      <xdr:col>8</xdr:col>
      <xdr:colOff>288838</xdr:colOff>
      <xdr:row>25</xdr:row>
      <xdr:rowOff>95799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551719</xdr:colOff>
      <xdr:row>58</xdr:row>
      <xdr:rowOff>58607</xdr:rowOff>
    </xdr:from>
    <xdr:to>
      <xdr:col>8</xdr:col>
      <xdr:colOff>286923</xdr:colOff>
      <xdr:row>62</xdr:row>
      <xdr:rowOff>91658</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517164</xdr:colOff>
      <xdr:row>96</xdr:row>
      <xdr:rowOff>1737</xdr:rowOff>
    </xdr:from>
    <xdr:to>
      <xdr:col>8</xdr:col>
      <xdr:colOff>265703</xdr:colOff>
      <xdr:row>100</xdr:row>
      <xdr:rowOff>18611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250533</xdr:colOff>
      <xdr:row>138</xdr:row>
      <xdr:rowOff>98310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552635</xdr:colOff>
      <xdr:row>171</xdr:row>
      <xdr:rowOff>94054</xdr:rowOff>
    </xdr:from>
    <xdr:to>
      <xdr:col>8</xdr:col>
      <xdr:colOff>323080</xdr:colOff>
      <xdr:row>175</xdr:row>
      <xdr:rowOff>131672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550957</xdr:colOff>
      <xdr:row>210</xdr:row>
      <xdr:rowOff>130850</xdr:rowOff>
    </xdr:from>
    <xdr:to>
      <xdr:col>8</xdr:col>
      <xdr:colOff>288066</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tos365-my.sharepoint.com/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4296875" defaultRowHeight="12.5"/>
  <cols>
    <col min="1" max="1" width="11.6328125" customWidth="1"/>
    <col min="14" max="14" width="18.36328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4"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75"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649999999999999" customHeight="1">
      <c r="A4" s="1"/>
      <c r="B4" s="6"/>
      <c r="C4" s="3"/>
      <c r="D4" s="3"/>
      <c r="E4" s="3"/>
      <c r="F4" s="3"/>
      <c r="G4" s="3"/>
      <c r="H4" s="3"/>
      <c r="I4" s="3"/>
      <c r="J4" s="3"/>
      <c r="K4" s="3"/>
      <c r="L4" s="3"/>
      <c r="M4" s="3"/>
      <c r="N4" s="3"/>
      <c r="O4" s="3"/>
      <c r="P4" s="3"/>
      <c r="Q4" s="3"/>
      <c r="R4" s="3"/>
      <c r="S4" s="3"/>
      <c r="T4" s="3"/>
      <c r="U4" s="3"/>
      <c r="V4" s="3"/>
      <c r="W4" s="3"/>
      <c r="X4" s="3"/>
      <c r="Y4" s="3"/>
      <c r="Z4" s="3"/>
    </row>
    <row r="5" spans="1:64" ht="28.4"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5">
      <c r="B7" s="11" t="s">
        <v>4</v>
      </c>
    </row>
    <row r="9" spans="1:64" ht="216" customHeight="1">
      <c r="B9" s="212" t="s">
        <v>5</v>
      </c>
      <c r="C9" s="212"/>
      <c r="D9" s="212"/>
      <c r="E9" s="212"/>
      <c r="F9" s="212"/>
      <c r="G9" s="212"/>
      <c r="H9" s="212"/>
      <c r="I9" s="212"/>
      <c r="J9" s="212"/>
      <c r="K9" s="212"/>
      <c r="L9" s="212"/>
      <c r="M9" s="212"/>
      <c r="N9" s="212"/>
    </row>
    <row r="10" spans="1:64" ht="13.5" customHeight="1"/>
    <row r="11" spans="1:64" ht="86.25" customHeight="1">
      <c r="B11" s="212" t="s">
        <v>6</v>
      </c>
      <c r="C11" s="212"/>
      <c r="D11" s="212"/>
      <c r="E11" s="212"/>
      <c r="F11" s="212"/>
      <c r="G11" s="212"/>
      <c r="H11" s="212"/>
      <c r="I11" s="212"/>
      <c r="J11" s="212"/>
      <c r="K11" s="212"/>
      <c r="L11" s="212"/>
      <c r="M11" s="212"/>
      <c r="N11" s="212"/>
    </row>
    <row r="12" spans="1:64" ht="13.5" customHeight="1"/>
    <row r="13" spans="1:64" ht="319.5" customHeight="1">
      <c r="B13" s="212" t="s">
        <v>7</v>
      </c>
      <c r="C13" s="212"/>
      <c r="D13" s="212"/>
      <c r="E13" s="212"/>
      <c r="F13" s="212"/>
      <c r="G13" s="212"/>
      <c r="H13" s="212"/>
      <c r="I13" s="212"/>
      <c r="J13" s="212"/>
      <c r="K13" s="212"/>
      <c r="L13" s="212"/>
      <c r="M13" s="212"/>
      <c r="N13" s="212"/>
    </row>
    <row r="15" spans="1:64" ht="274.5" customHeight="1">
      <c r="B15" s="213" t="s">
        <v>8</v>
      </c>
      <c r="C15" s="213"/>
      <c r="D15" s="213"/>
      <c r="E15" s="213"/>
      <c r="F15" s="213"/>
      <c r="G15" s="213"/>
      <c r="H15" s="213"/>
      <c r="I15" s="213"/>
      <c r="J15" s="213"/>
      <c r="K15" s="213"/>
      <c r="L15" s="213"/>
      <c r="M15" s="213"/>
      <c r="N15" s="213"/>
    </row>
    <row r="17" spans="2:14" ht="29.25" customHeight="1">
      <c r="B17" s="214" t="s">
        <v>9</v>
      </c>
      <c r="C17" s="214"/>
      <c r="D17" s="214"/>
      <c r="E17" s="214"/>
      <c r="F17" s="214"/>
      <c r="G17" s="214"/>
      <c r="H17" s="214"/>
      <c r="I17" s="214"/>
      <c r="J17" s="214"/>
      <c r="K17" s="214"/>
      <c r="L17" s="214"/>
      <c r="M17" s="214"/>
      <c r="N17" s="214"/>
    </row>
    <row r="19" spans="2:14" ht="17.5">
      <c r="B19" s="169" t="s">
        <v>10</v>
      </c>
      <c r="C19" s="168"/>
      <c r="D19" s="168"/>
      <c r="E19" s="168"/>
      <c r="F19" s="168"/>
      <c r="G19" s="168"/>
      <c r="H19" s="168"/>
      <c r="I19" s="168"/>
      <c r="J19" s="168"/>
      <c r="K19" s="168"/>
      <c r="L19" s="168"/>
      <c r="M19" s="168"/>
      <c r="N19" s="168"/>
    </row>
    <row r="20" spans="2:14" ht="18.5">
      <c r="B20" s="166" t="s">
        <v>11</v>
      </c>
      <c r="C20" s="167"/>
      <c r="D20" s="167"/>
      <c r="E20" s="167"/>
      <c r="F20" s="167"/>
      <c r="G20" s="167"/>
      <c r="H20" s="167"/>
      <c r="I20" s="167"/>
      <c r="J20" s="167"/>
      <c r="K20" s="167"/>
      <c r="L20" s="167"/>
      <c r="M20" s="167"/>
      <c r="N20" s="167"/>
    </row>
    <row r="22" spans="2:14" ht="15.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zoomScale="80" zoomScaleNormal="80" workbookViewId="0">
      <selection activeCell="D228" sqref="D210:D228"/>
    </sheetView>
  </sheetViews>
  <sheetFormatPr baseColWidth="10" defaultColWidth="11.54296875" defaultRowHeight="12.5"/>
  <cols>
    <col min="1" max="1" width="7.90625" style="14" customWidth="1"/>
    <col min="2" max="2" width="16.08984375" style="14" customWidth="1"/>
    <col min="3" max="3" width="71"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5.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165</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69"/>
      <c r="C6" s="69"/>
      <c r="D6" s="69"/>
      <c r="E6" s="81"/>
      <c r="F6" s="69"/>
      <c r="G6" s="69"/>
      <c r="H6" s="69"/>
      <c r="I6" s="69"/>
      <c r="J6" s="69"/>
      <c r="K6" s="69"/>
      <c r="L6" s="69"/>
      <c r="M6" s="69"/>
      <c r="N6" s="18"/>
      <c r="O6" s="18"/>
    </row>
    <row r="7" spans="1:64" ht="12.65" customHeight="1">
      <c r="B7" s="18"/>
      <c r="C7" s="18"/>
      <c r="D7" s="18"/>
      <c r="E7" s="79"/>
      <c r="F7" s="18"/>
      <c r="G7" s="18"/>
      <c r="H7" s="18"/>
      <c r="I7" s="18"/>
      <c r="J7" s="18"/>
      <c r="K7" s="18"/>
      <c r="L7" s="18"/>
      <c r="M7" s="18"/>
      <c r="N7" s="18"/>
      <c r="O7" s="18"/>
    </row>
    <row r="8" spans="1:64" ht="18.899999999999999" customHeight="1">
      <c r="B8" s="232" t="s">
        <v>321</v>
      </c>
      <c r="C8" s="232"/>
      <c r="D8" s="232"/>
      <c r="E8" s="232"/>
      <c r="F8" s="232"/>
      <c r="G8" s="232"/>
      <c r="H8" s="232"/>
      <c r="I8" s="232"/>
      <c r="J8" s="232"/>
      <c r="K8" s="232"/>
      <c r="L8" s="232"/>
      <c r="M8" s="232"/>
      <c r="N8" s="18"/>
      <c r="O8" s="18"/>
    </row>
    <row r="9" spans="1:64" ht="30" customHeight="1">
      <c r="B9" s="231" t="s">
        <v>167</v>
      </c>
      <c r="C9" s="231"/>
      <c r="D9" s="231"/>
      <c r="E9" s="231"/>
      <c r="F9" s="231"/>
      <c r="G9" s="231"/>
      <c r="H9" s="231"/>
      <c r="I9" s="231"/>
      <c r="J9" s="231"/>
      <c r="K9" s="231"/>
      <c r="L9" s="231"/>
      <c r="M9" s="231"/>
      <c r="N9" s="18"/>
      <c r="O9" s="18"/>
    </row>
    <row r="10" spans="1:64" ht="17.149999999999999"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4" customHeight="1">
      <c r="B11" s="229" t="s">
        <v>168</v>
      </c>
      <c r="C11" s="230"/>
      <c r="D11" s="26"/>
      <c r="E11" s="14"/>
      <c r="F11" s="196" t="s">
        <v>169</v>
      </c>
      <c r="G11" s="105" t="s">
        <v>170</v>
      </c>
      <c r="H11" s="197" t="s">
        <v>171</v>
      </c>
      <c r="I11" s="22"/>
      <c r="J11" s="196" t="s">
        <v>172</v>
      </c>
      <c r="K11" s="105" t="s">
        <v>170</v>
      </c>
      <c r="L11" s="197" t="s">
        <v>171</v>
      </c>
      <c r="M11" s="18"/>
      <c r="N11" s="18"/>
      <c r="O11" s="18"/>
      <c r="P11" s="18"/>
      <c r="Q11" s="18"/>
      <c r="R11" s="18"/>
      <c r="U11" s="18"/>
      <c r="V11" s="18"/>
      <c r="W11" s="18"/>
      <c r="X11" s="18"/>
      <c r="Y11" s="18"/>
    </row>
    <row r="12" spans="1:64" ht="12" customHeight="1">
      <c r="B12" s="108" t="s">
        <v>173</v>
      </c>
      <c r="C12" s="198">
        <f>COUNTIF($B$18:$B$243,B12)</f>
        <v>6</v>
      </c>
      <c r="D12" s="26"/>
      <c r="E12" s="14"/>
      <c r="F12" s="199" t="s">
        <v>174</v>
      </c>
      <c r="G12" s="72">
        <f ca="1">J20+J58+J96+J134+J172+J210</f>
        <v>0</v>
      </c>
      <c r="H12" s="42">
        <f ca="1">IF(($G$15+$K$15)=0,0,G12/($G$15+$K$15))</f>
        <v>0</v>
      </c>
      <c r="I12" s="26"/>
      <c r="J12" s="183" t="s">
        <v>175</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176</v>
      </c>
      <c r="G13" s="72">
        <f ca="1">I20+I58+I96+I134+I172+I210</f>
        <v>20</v>
      </c>
      <c r="H13" s="42">
        <f ca="1">IF(($G$15+$K$15)=0,0,G13/($G$15+$K$15))</f>
        <v>0.16666666666666666</v>
      </c>
      <c r="I13" s="26"/>
      <c r="J13" s="183" t="s">
        <v>177</v>
      </c>
      <c r="K13" s="72">
        <f ca="1">F20+F58+F96+F134+F172+F210</f>
        <v>0</v>
      </c>
      <c r="L13" s="42">
        <f ca="1">IF(($G$15+$K$15)=0,0,K13/($G$15+$K$15))</f>
        <v>0</v>
      </c>
      <c r="M13" s="18"/>
      <c r="N13" s="18"/>
      <c r="O13" s="18"/>
      <c r="P13" s="18"/>
      <c r="Q13" s="18"/>
      <c r="R13" s="18"/>
      <c r="U13" s="18"/>
      <c r="V13" s="18"/>
      <c r="W13" s="18"/>
      <c r="X13" s="18"/>
      <c r="Y13" s="18"/>
    </row>
    <row r="14" spans="1:64" ht="12" customHeight="1" thickBot="1">
      <c r="B14" s="200" t="s">
        <v>178</v>
      </c>
      <c r="C14" s="201">
        <f>C12+C13</f>
        <v>6</v>
      </c>
      <c r="D14" s="26"/>
      <c r="E14" s="14"/>
      <c r="F14" s="199" t="s">
        <v>179</v>
      </c>
      <c r="G14" s="72">
        <f ca="1">H20+H58+H96+H134+H172+H210</f>
        <v>100</v>
      </c>
      <c r="H14" s="42">
        <f ca="1">IF(($G$15+$K$15)=0,0,G14/($G$15+$K$15))</f>
        <v>0.83333333333333337</v>
      </c>
      <c r="I14" s="26"/>
      <c r="J14" s="183" t="s">
        <v>180</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178</v>
      </c>
      <c r="G15" s="203">
        <f ca="1">SUM(G12:G14)</f>
        <v>120</v>
      </c>
      <c r="H15" s="204">
        <f ca="1">SUM(H12:H14)</f>
        <v>1</v>
      </c>
      <c r="I15" s="26"/>
      <c r="J15" s="200" t="s">
        <v>178</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181</v>
      </c>
      <c r="B18" s="23" t="s">
        <v>173</v>
      </c>
      <c r="C18" s="24" t="s">
        <v>322</v>
      </c>
      <c r="D18" s="25" t="s">
        <v>183</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https://elecciones.comunidad.madrid/es</v>
      </c>
      <c r="D19" s="99" t="s">
        <v>176</v>
      </c>
      <c r="E19" s="79" t="str">
        <f t="shared" ref="E19:E53" si="0">IF(D19&lt;&gt;"",IF(AND(B19&lt;&gt;"",C19&lt;&gt;""),"","ERR"),"")</f>
        <v/>
      </c>
      <c r="F19" s="86" t="s">
        <v>185</v>
      </c>
      <c r="G19" s="87" t="s">
        <v>186</v>
      </c>
      <c r="H19" s="88" t="s">
        <v>184</v>
      </c>
      <c r="I19" s="89" t="s">
        <v>176</v>
      </c>
      <c r="J19" s="90" t="s">
        <v>174</v>
      </c>
      <c r="K19" s="179" t="s">
        <v>180</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Resultado Elecciones 28M 2023</v>
      </c>
      <c r="C20" s="85" t="str" cm="1">
        <f t="array" ref="C20">IFERROR(INDEX('03.Muestra'!$F$8:$F$42,SMALL(IF("Página Web"='03.Muestra'!$D$8:$D$42,ROW('03.Muestra'!$F$8:$F$42)-MIN(ROW('03.Muestra'!$D$8:$D$42))+1,""),ROW()-18)),"")</f>
        <v>https://elecciones.comunidad.madrid/es/resultados-elecciones-asamblea-madrid-28m-2023</v>
      </c>
      <c r="D20" s="99" t="s">
        <v>176</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20</v>
      </c>
      <c r="J20" s="91">
        <f ca="1">COUNTIF($D19:INDIRECT("$D" &amp;  SUM(ROW()-1,'03.Muestra'!$D$45)-1),J19)</f>
        <v>0</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Normativa electoral</v>
      </c>
      <c r="C21" s="85" t="str" cm="1">
        <f t="array" ref="C21">IFERROR(INDEX('03.Muestra'!$F$8:$F$42,SMALL(IF("Página Web"='03.Muestra'!$D$8:$D$42,ROW('03.Muestra'!$F$8:$F$42)-MIN(ROW('03.Muestra'!$D$8:$D$42))+1,""),ROW()-18)),"")</f>
        <v>https://elecciones.comunidad.madrid/es/informacion-electoral/normativa-electoral</v>
      </c>
      <c r="D21" s="99" t="s">
        <v>176</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Calendario electoral</v>
      </c>
      <c r="C22" s="85" t="str" cm="1">
        <f t="array" ref="C22">IFERROR(INDEX('03.Muestra'!$F$8:$F$42,SMALL(IF("Página Web"='03.Muestra'!$D$8:$D$42,ROW('03.Muestra'!$F$8:$F$42)-MIN(ROW('03.Muestra'!$D$8:$D$42))+1,""),ROW()-18)),"")</f>
        <v>https://elecciones.comunidad.madrid/es/informacion-electoral/calendario-electoral</v>
      </c>
      <c r="D22" s="99" t="s">
        <v>176</v>
      </c>
      <c r="E22" s="79" t="str">
        <f t="shared" si="0"/>
        <v/>
      </c>
      <c r="G22" s="18"/>
      <c r="H22" s="18"/>
      <c r="I22" s="18"/>
      <c r="J22" s="18"/>
      <c r="K22" s="170" t="s">
        <v>185</v>
      </c>
      <c r="L22" s="92" t="s">
        <v>187</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Direcciones y teléfonos</v>
      </c>
      <c r="C23" s="85" t="str" cm="1">
        <f t="array" ref="C23">IFERROR(INDEX('03.Muestra'!$F$8:$F$42,SMALL(IF("Página Web"='03.Muestra'!$D$8:$D$42,ROW('03.Muestra'!$F$8:$F$42)-MIN(ROW('03.Muestra'!$D$8:$D$42))+1,""),ROW()-18)),"")</f>
        <v>https://elecciones.comunidad.madrid/es/juntas-electorales/direcciones-telefonos</v>
      </c>
      <c r="D23" s="99" t="s">
        <v>176</v>
      </c>
      <c r="E23" s="79" t="str">
        <f t="shared" si="0"/>
        <v/>
      </c>
      <c r="G23" s="18"/>
      <c r="H23" s="18"/>
      <c r="I23" s="18"/>
      <c r="J23" s="18"/>
      <c r="K23" s="88" t="s">
        <v>184</v>
      </c>
      <c r="L23" s="92" t="s">
        <v>188</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Impresos electrónicos</v>
      </c>
      <c r="C24" s="85" t="str" cm="1">
        <f t="array" ref="C24">IFERROR(INDEX('03.Muestra'!$F$8:$F$42,SMALL(IF("Página Web"='03.Muestra'!$D$8:$D$42,ROW('03.Muestra'!$F$8:$F$42)-MIN(ROW('03.Muestra'!$D$8:$D$42))+1,""),ROW()-18)),"")</f>
        <v>https://elecciones.comunidad.madrid/es/formaciones-politicas/impresos-electronicos</v>
      </c>
      <c r="D24" s="99" t="s">
        <v>176</v>
      </c>
      <c r="E24" s="79" t="str">
        <f t="shared" si="0"/>
        <v/>
      </c>
      <c r="G24" s="18"/>
      <c r="H24" s="18"/>
      <c r="I24" s="18"/>
      <c r="J24" s="18"/>
      <c r="K24" s="87" t="s">
        <v>186</v>
      </c>
      <c r="L24" s="92" t="s">
        <v>189</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Listado de candidaturas</v>
      </c>
      <c r="C25" s="85" t="str" cm="1">
        <f t="array" ref="C25">IFERROR(INDEX('03.Muestra'!$F$8:$F$42,SMALL(IF("Página Web"='03.Muestra'!$D$8:$D$42,ROW('03.Muestra'!$F$8:$F$42)-MIN(ROW('03.Muestra'!$D$8:$D$42))+1,""),ROW()-18)),"")</f>
        <v>https://elecciones.comunidad.madrid/es/formaciones-politicas/listado-candidaturas-proclamadas</v>
      </c>
      <c r="D25" s="99" t="s">
        <v>176</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Partido Feminista de España</v>
      </c>
      <c r="C26" s="85" t="str" cm="1">
        <f t="array" ref="C26">IFERROR(INDEX('03.Muestra'!$F$8:$F$42,SMALL(IF("Página Web"='03.Muestra'!$D$8:$D$42,ROW('03.Muestra'!$F$8:$F$42)-MIN(ROW('03.Muestra'!$D$8:$D$42))+1,""),ROW()-18)),"")</f>
        <v>https://elecciones.comunidad.madrid/es/formaciones-politicas/listado-candidaturas/partido-feminista-espana</v>
      </c>
      <c r="D26" s="99" t="s">
        <v>176</v>
      </c>
      <c r="E26" s="79" t="str">
        <f t="shared" si="0"/>
        <v/>
      </c>
      <c r="F26" s="18"/>
      <c r="G26" s="18"/>
      <c r="H26" s="18"/>
      <c r="I26" s="18"/>
      <c r="J26" s="18"/>
      <c r="K26" s="18"/>
    </row>
    <row r="27" spans="1:13"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¿Dónde voto?</v>
      </c>
      <c r="C27" s="85" t="str" cm="1">
        <f t="array" ref="C27">IFERROR(INDEX('03.Muestra'!$F$8:$F$42,SMALL(IF("Página Web"='03.Muestra'!$D$8:$D$42,ROW('03.Muestra'!$F$8:$F$42)-MIN(ROW('03.Muestra'!$D$8:$D$42))+1,""),ROW()-18)),"")</f>
        <v>https://elecciones.comunidad.madrid/es/votar/donde-voto</v>
      </c>
      <c r="D27" s="99" t="s">
        <v>176</v>
      </c>
      <c r="E27" s="79" t="str">
        <f t="shared" si="0"/>
        <v/>
      </c>
      <c r="F27" s="18"/>
      <c r="G27" s="18"/>
      <c r="H27" s="18"/>
      <c r="I27" s="18"/>
      <c r="J27" s="18"/>
      <c r="K27" s="18"/>
    </row>
    <row r="28" spans="1:13"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Voto presencial</v>
      </c>
      <c r="C28" s="85" t="str" cm="1">
        <f t="array" ref="C28">IFERROR(INDEX('03.Muestra'!$F$8:$F$42,SMALL(IF("Página Web"='03.Muestra'!$D$8:$D$42,ROW('03.Muestra'!$F$8:$F$42)-MIN(ROW('03.Muestra'!$D$8:$D$42))+1,""),ROW()-18)),"")</f>
        <v>https://elecciones.comunidad.madrid/es/voto-local-electoral/voto-presencial</v>
      </c>
      <c r="D28" s="99" t="s">
        <v>176</v>
      </c>
      <c r="E28" s="79" t="str">
        <f t="shared" si="0"/>
        <v/>
      </c>
      <c r="F28" s="18"/>
      <c r="G28" s="18"/>
      <c r="H28" s="18"/>
      <c r="I28" s="18"/>
      <c r="J28" s="18"/>
      <c r="K28" s="18"/>
    </row>
    <row r="29" spans="1:13"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Ciudadanos temporalmente en el extranjero</v>
      </c>
      <c r="C29" s="85" t="str" cm="1">
        <f t="array" ref="C29">IFERROR(INDEX('03.Muestra'!$F$8:$F$42,SMALL(IF("Página Web"='03.Muestra'!$D$8:$D$42,ROW('03.Muestra'!$F$8:$F$42)-MIN(ROW('03.Muestra'!$D$8:$D$42))+1,""),ROW()-18)),"")</f>
        <v>https://elecciones.comunidad.madrid/es/voto-correo/solicitud-voto-temporalmente-ausentes</v>
      </c>
      <c r="D29" s="99" t="s">
        <v>176</v>
      </c>
      <c r="E29" s="79" t="str">
        <f t="shared" si="0"/>
        <v/>
      </c>
      <c r="F29" s="18"/>
      <c r="G29" s="18"/>
      <c r="H29" s="18"/>
      <c r="I29" s="18"/>
      <c r="J29" s="18"/>
      <c r="K29" s="18"/>
    </row>
    <row r="30" spans="1:13"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Nuevo votante</v>
      </c>
      <c r="C30" s="85" t="str" cm="1">
        <f t="array" ref="C30">IFERROR(INDEX('03.Muestra'!$F$8:$F$42,SMALL(IF("Página Web"='03.Muestra'!$D$8:$D$42,ROW('03.Muestra'!$F$8:$F$42)-MIN(ROW('03.Muestra'!$D$8:$D$42))+1,""),ROW()-18)),"")</f>
        <v>https://elecciones.comunidad.madrid/es/votar/nuevo-votante</v>
      </c>
      <c r="D30" s="99" t="s">
        <v>176</v>
      </c>
      <c r="E30" s="79" t="str">
        <f t="shared" si="0"/>
        <v/>
      </c>
      <c r="F30" s="18"/>
      <c r="G30" s="18"/>
      <c r="H30" s="18"/>
      <c r="I30" s="18"/>
      <c r="J30" s="18"/>
      <c r="K30" s="18"/>
    </row>
    <row r="31" spans="1:13"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Simulación método D'Hondt</v>
      </c>
      <c r="C31" s="85" t="str" cm="1">
        <f t="array" ref="C31">IFERROR(INDEX('03.Muestra'!$F$8:$F$42,SMALL(IF("Página Web"='03.Muestra'!$D$8:$D$42,ROW('03.Muestra'!$F$8:$F$42)-MIN(ROW('03.Muestra'!$D$8:$D$42))+1,""),ROW()-18)),"")</f>
        <v>https://elecciones.comunidad.madrid/es/informacion-util/simulacion-metodo-dhondt</v>
      </c>
      <c r="D31" s="99" t="s">
        <v>176</v>
      </c>
      <c r="E31" s="79" t="str">
        <f t="shared" si="0"/>
        <v/>
      </c>
      <c r="F31" s="18"/>
      <c r="G31" s="18"/>
      <c r="H31" s="18"/>
      <c r="I31" s="18"/>
      <c r="J31" s="18"/>
      <c r="K31" s="18"/>
    </row>
    <row r="32" spans="1:13"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Ley D'Hondt</v>
      </c>
      <c r="C32" s="85" t="str" cm="1">
        <f t="array" ref="C32">IFERROR(INDEX('03.Muestra'!$F$8:$F$42,SMALL(IF("Página Web"='03.Muestra'!$D$8:$D$42,ROW('03.Muestra'!$F$8:$F$42)-MIN(ROW('03.Muestra'!$D$8:$D$42))+1,""),ROW()-18)),"")</f>
        <v>https://elecciones.comunidad.madrid/es/resultados/ley_d_hondt</v>
      </c>
      <c r="D32" s="99" t="s">
        <v>176</v>
      </c>
      <c r="E32" s="79" t="str">
        <f t="shared" si="0"/>
        <v/>
      </c>
      <c r="F32" s="18"/>
      <c r="G32" s="18"/>
      <c r="H32" s="18"/>
      <c r="I32" s="18"/>
      <c r="J32" s="18"/>
      <c r="K32" s="18"/>
    </row>
    <row r="33" spans="1:11"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Voto por correo elector CERA en España</v>
      </c>
      <c r="C33" s="85" t="str" cm="1">
        <f t="array" ref="C33">IFERROR(INDEX('03.Muestra'!$F$8:$F$42,SMALL(IF("Página Web"='03.Muestra'!$D$8:$D$42,ROW('03.Muestra'!$F$8:$F$42)-MIN(ROW('03.Muestra'!$D$8:$D$42))+1,""),ROW()-18)),"")</f>
        <v>https://elecciones.comunidad.madrid/es/preguntas-frecuentes/voto-correo-electores-residentes-extranjero</v>
      </c>
      <c r="D33" s="99" t="s">
        <v>176</v>
      </c>
      <c r="E33" s="79" t="str">
        <f t="shared" si="0"/>
        <v/>
      </c>
      <c r="F33" s="18"/>
      <c r="G33" s="18"/>
      <c r="H33" s="18"/>
      <c r="I33" s="18"/>
      <c r="J33" s="18"/>
      <c r="K33" s="18"/>
    </row>
    <row r="34" spans="1:11"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Contacto</v>
      </c>
      <c r="C34" s="85" t="str" cm="1">
        <f t="array" ref="C34">IFERROR(INDEX('03.Muestra'!$F$8:$F$42,SMALL(IF("Página Web"='03.Muestra'!$D$8:$D$42,ROW('03.Muestra'!$F$8:$F$42)-MIN(ROW('03.Muestra'!$D$8:$D$42))+1,""),ROW()-18)),"")</f>
        <v>https://elecciones.comunidad.madrid/es/buzon-de-sugerencias</v>
      </c>
      <c r="D34" s="99" t="s">
        <v>176</v>
      </c>
      <c r="E34" s="79" t="str">
        <f t="shared" si="0"/>
        <v/>
      </c>
      <c r="F34" s="18"/>
      <c r="G34" s="18"/>
      <c r="H34" s="18"/>
      <c r="I34" s="18"/>
      <c r="J34" s="18"/>
      <c r="K34" s="18"/>
    </row>
    <row r="35" spans="1:11"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Buscador</v>
      </c>
      <c r="C35" s="85" t="str" cm="1">
        <f t="array" ref="C35">IFERROR(INDEX('03.Muestra'!$F$8:$F$42,SMALL(IF("Página Web"='03.Muestra'!$D$8:$D$42,ROW('03.Muestra'!$F$8:$F$42)-MIN(ROW('03.Muestra'!$D$8:$D$42))+1,""),ROW()-18)),"")</f>
        <v>https://elecciones.comunidad.madrid/es/search?search_api_fulltext=partido</v>
      </c>
      <c r="D35" s="99" t="s">
        <v>176</v>
      </c>
      <c r="E35" s="79" t="str">
        <f t="shared" si="0"/>
        <v/>
      </c>
      <c r="F35" s="18"/>
      <c r="G35" s="18"/>
      <c r="H35" s="18"/>
      <c r="I35" s="18"/>
      <c r="J35" s="18"/>
      <c r="K35" s="18"/>
    </row>
    <row r="36" spans="1:11"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Legal-Privacidad</v>
      </c>
      <c r="C36" s="85" t="str" cm="1">
        <f t="array" ref="C36">IFERROR(INDEX('03.Muestra'!$F$8:$F$42,SMALL(IF("Página Web"='03.Muestra'!$D$8:$D$42,ROW('03.Muestra'!$F$8:$F$42)-MIN(ROW('03.Muestra'!$D$8:$D$42))+1,""),ROW()-18)),"")</f>
        <v>https://elecciones.comunidad.madrid/es/aviso-legal</v>
      </c>
      <c r="D36" s="99" t="s">
        <v>176</v>
      </c>
      <c r="E36" s="79" t="str">
        <f t="shared" si="0"/>
        <v/>
      </c>
      <c r="F36" s="18"/>
      <c r="G36" s="18"/>
      <c r="H36" s="18"/>
      <c r="I36" s="18"/>
      <c r="J36" s="18"/>
      <c r="K36" s="18"/>
    </row>
    <row r="37" spans="1:11"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https://elecciones.comunidad.madrid/es/sitemap</v>
      </c>
      <c r="D37" s="99" t="s">
        <v>176</v>
      </c>
      <c r="E37" s="79" t="str">
        <f t="shared" si="0"/>
        <v/>
      </c>
      <c r="F37" s="18"/>
      <c r="G37" s="18"/>
      <c r="H37" s="18"/>
      <c r="I37" s="18"/>
      <c r="J37" s="18"/>
      <c r="K37" s="18"/>
    </row>
    <row r="38" spans="1:11"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Declaracion Accesibilidad</v>
      </c>
      <c r="C38" s="85" t="str" cm="1">
        <f t="array" ref="C38">IFERROR(INDEX('03.Muestra'!$F$8:$F$42,SMALL(IF("Página Web"='03.Muestra'!$D$8:$D$42,ROW('03.Muestra'!$F$8:$F$42)-MIN(ROW('03.Muestra'!$D$8:$D$42))+1,""),ROW()-18)),"")</f>
        <v>https://elecciones.comunidad.madrid/es/accesibilidad</v>
      </c>
      <c r="D38" s="99" t="s">
        <v>176</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181</v>
      </c>
      <c r="B56" s="23" t="s">
        <v>173</v>
      </c>
      <c r="C56" s="24" t="s">
        <v>323</v>
      </c>
      <c r="D56" s="25" t="s">
        <v>183</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https://elecciones.comunidad.madrid/es</v>
      </c>
      <c r="D57" s="99" t="s">
        <v>184</v>
      </c>
      <c r="E57" s="79" t="str">
        <f t="shared" ref="E57:E91" si="2">IF(D57&lt;&gt;"",IF(AND(B57&lt;&gt;"",C57&lt;&gt;""),"","ERR"),"")</f>
        <v/>
      </c>
      <c r="F57" s="86" t="s">
        <v>185</v>
      </c>
      <c r="G57" s="87" t="s">
        <v>186</v>
      </c>
      <c r="H57" s="88" t="s">
        <v>184</v>
      </c>
      <c r="I57" s="89" t="s">
        <v>176</v>
      </c>
      <c r="J57" s="90" t="s">
        <v>174</v>
      </c>
      <c r="K57" s="179" t="s">
        <v>180</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Resultado Elecciones 28M 2023</v>
      </c>
      <c r="C58" s="85" t="str" cm="1">
        <f t="array" ref="C58">IFERROR(INDEX('03.Muestra'!$F$8:$F$42,SMALL(IF("Página Web"='03.Muestra'!$D$8:$D$42,ROW('03.Muestra'!$F$8:$F$42)-MIN(ROW('03.Muestra'!$D$8:$D$42))+1,""),ROW()-56)),"")</f>
        <v>https://elecciones.comunidad.madrid/es/resultados-elecciones-asamblea-madrid-28m-2023</v>
      </c>
      <c r="D58" s="99" t="s">
        <v>184</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Normativa electoral</v>
      </c>
      <c r="C59" s="85" t="str" cm="1">
        <f t="array" ref="C59">IFERROR(INDEX('03.Muestra'!$F$8:$F$42,SMALL(IF("Página Web"='03.Muestra'!$D$8:$D$42,ROW('03.Muestra'!$F$8:$F$42)-MIN(ROW('03.Muestra'!$D$8:$D$42))+1,""),ROW()-56)),"")</f>
        <v>https://elecciones.comunidad.madrid/es/informacion-electoral/normativa-electoral</v>
      </c>
      <c r="D59" s="99" t="s">
        <v>184</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Calendario electoral</v>
      </c>
      <c r="C60" s="85" t="str" cm="1">
        <f t="array" ref="C60">IFERROR(INDEX('03.Muestra'!$F$8:$F$42,SMALL(IF("Página Web"='03.Muestra'!$D$8:$D$42,ROW('03.Muestra'!$F$8:$F$42)-MIN(ROW('03.Muestra'!$D$8:$D$42))+1,""),ROW()-56)),"")</f>
        <v>https://elecciones.comunidad.madrid/es/informacion-electoral/calendario-electoral</v>
      </c>
      <c r="D60" s="99" t="s">
        <v>184</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Direcciones y teléfonos</v>
      </c>
      <c r="C61" s="85" t="str" cm="1">
        <f t="array" ref="C61">IFERROR(INDEX('03.Muestra'!$F$8:$F$42,SMALL(IF("Página Web"='03.Muestra'!$D$8:$D$42,ROW('03.Muestra'!$F$8:$F$42)-MIN(ROW('03.Muestra'!$D$8:$D$42))+1,""),ROW()-56)),"")</f>
        <v>https://elecciones.comunidad.madrid/es/juntas-electorales/direcciones-telefonos</v>
      </c>
      <c r="D61" s="99" t="s">
        <v>184</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Impresos electrónicos</v>
      </c>
      <c r="C62" s="85" t="str" cm="1">
        <f t="array" ref="C62">IFERROR(INDEX('03.Muestra'!$F$8:$F$42,SMALL(IF("Página Web"='03.Muestra'!$D$8:$D$42,ROW('03.Muestra'!$F$8:$F$42)-MIN(ROW('03.Muestra'!$D$8:$D$42))+1,""),ROW()-56)),"")</f>
        <v>https://elecciones.comunidad.madrid/es/formaciones-politicas/impresos-electronicos</v>
      </c>
      <c r="D62" s="99" t="s">
        <v>184</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Listado de candidaturas</v>
      </c>
      <c r="C63" s="85" t="str" cm="1">
        <f t="array" ref="C63">IFERROR(INDEX('03.Muestra'!$F$8:$F$42,SMALL(IF("Página Web"='03.Muestra'!$D$8:$D$42,ROW('03.Muestra'!$F$8:$F$42)-MIN(ROW('03.Muestra'!$D$8:$D$42))+1,""),ROW()-56)),"")</f>
        <v>https://elecciones.comunidad.madrid/es/formaciones-politicas/listado-candidaturas-proclamadas</v>
      </c>
      <c r="D63" s="99" t="s">
        <v>184</v>
      </c>
      <c r="E63" s="79" t="str">
        <f t="shared" si="2"/>
        <v/>
      </c>
      <c r="F63" s="18"/>
      <c r="G63" s="18"/>
      <c r="H63" s="18"/>
      <c r="I63" s="18"/>
      <c r="J63" s="18"/>
      <c r="K63" s="184"/>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Partido Feminista de España</v>
      </c>
      <c r="C64" s="85" t="str" cm="1">
        <f t="array" ref="C64">IFERROR(INDEX('03.Muestra'!$F$8:$F$42,SMALL(IF("Página Web"='03.Muestra'!$D$8:$D$42,ROW('03.Muestra'!$F$8:$F$42)-MIN(ROW('03.Muestra'!$D$8:$D$42))+1,""),ROW()-56)),"")</f>
        <v>https://elecciones.comunidad.madrid/es/formaciones-politicas/listado-candidaturas/partido-feminista-espana</v>
      </c>
      <c r="D64" s="99" t="s">
        <v>184</v>
      </c>
      <c r="E64" s="79" t="str">
        <f t="shared" si="2"/>
        <v/>
      </c>
      <c r="F64" s="18"/>
      <c r="G64" s="18"/>
      <c r="H64" s="18"/>
      <c r="I64" s="18"/>
      <c r="J64" s="18"/>
      <c r="K64" s="184"/>
    </row>
    <row r="65" spans="1:11"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¿Dónde voto?</v>
      </c>
      <c r="C65" s="85" t="str" cm="1">
        <f t="array" ref="C65">IFERROR(INDEX('03.Muestra'!$F$8:$F$42,SMALL(IF("Página Web"='03.Muestra'!$D$8:$D$42,ROW('03.Muestra'!$F$8:$F$42)-MIN(ROW('03.Muestra'!$D$8:$D$42))+1,""),ROW()-56)),"")</f>
        <v>https://elecciones.comunidad.madrid/es/votar/donde-voto</v>
      </c>
      <c r="D65" s="99" t="s">
        <v>184</v>
      </c>
      <c r="E65" s="79" t="str">
        <f t="shared" si="2"/>
        <v/>
      </c>
      <c r="F65" s="18"/>
      <c r="G65" s="18"/>
      <c r="H65" s="18"/>
      <c r="I65" s="18"/>
      <c r="J65" s="18"/>
      <c r="K65" s="184"/>
    </row>
    <row r="66" spans="1:11"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Voto presencial</v>
      </c>
      <c r="C66" s="85" t="str" cm="1">
        <f t="array" ref="C66">IFERROR(INDEX('03.Muestra'!$F$8:$F$42,SMALL(IF("Página Web"='03.Muestra'!$D$8:$D$42,ROW('03.Muestra'!$F$8:$F$42)-MIN(ROW('03.Muestra'!$D$8:$D$42))+1,""),ROW()-56)),"")</f>
        <v>https://elecciones.comunidad.madrid/es/voto-local-electoral/voto-presencial</v>
      </c>
      <c r="D66" s="99" t="s">
        <v>184</v>
      </c>
      <c r="E66" s="79" t="str">
        <f t="shared" si="2"/>
        <v/>
      </c>
      <c r="F66" s="18"/>
      <c r="G66" s="18"/>
      <c r="H66" s="18"/>
      <c r="I66" s="18"/>
      <c r="J66" s="18"/>
      <c r="K66" s="184"/>
    </row>
    <row r="67" spans="1:11"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Ciudadanos temporalmente en el extranjero</v>
      </c>
      <c r="C67" s="85" t="str" cm="1">
        <f t="array" ref="C67">IFERROR(INDEX('03.Muestra'!$F$8:$F$42,SMALL(IF("Página Web"='03.Muestra'!$D$8:$D$42,ROW('03.Muestra'!$F$8:$F$42)-MIN(ROW('03.Muestra'!$D$8:$D$42))+1,""),ROW()-56)),"")</f>
        <v>https://elecciones.comunidad.madrid/es/voto-correo/solicitud-voto-temporalmente-ausentes</v>
      </c>
      <c r="D67" s="99" t="s">
        <v>184</v>
      </c>
      <c r="E67" s="79" t="str">
        <f t="shared" si="2"/>
        <v/>
      </c>
      <c r="F67" s="18"/>
      <c r="G67" s="18"/>
      <c r="H67" s="18"/>
      <c r="I67" s="18"/>
      <c r="J67" s="18"/>
      <c r="K67" s="184"/>
    </row>
    <row r="68" spans="1:11"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Nuevo votante</v>
      </c>
      <c r="C68" s="85" t="str" cm="1">
        <f t="array" ref="C68">IFERROR(INDEX('03.Muestra'!$F$8:$F$42,SMALL(IF("Página Web"='03.Muestra'!$D$8:$D$42,ROW('03.Muestra'!$F$8:$F$42)-MIN(ROW('03.Muestra'!$D$8:$D$42))+1,""),ROW()-56)),"")</f>
        <v>https://elecciones.comunidad.madrid/es/votar/nuevo-votante</v>
      </c>
      <c r="D68" s="99" t="s">
        <v>184</v>
      </c>
      <c r="E68" s="79" t="str">
        <f t="shared" si="2"/>
        <v/>
      </c>
      <c r="F68" s="18"/>
      <c r="G68" s="18"/>
      <c r="H68" s="18"/>
      <c r="I68" s="18"/>
      <c r="J68" s="18"/>
      <c r="K68" s="184"/>
    </row>
    <row r="69" spans="1:11"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Simulación método D'Hondt</v>
      </c>
      <c r="C69" s="85" t="str" cm="1">
        <f t="array" ref="C69">IFERROR(INDEX('03.Muestra'!$F$8:$F$42,SMALL(IF("Página Web"='03.Muestra'!$D$8:$D$42,ROW('03.Muestra'!$F$8:$F$42)-MIN(ROW('03.Muestra'!$D$8:$D$42))+1,""),ROW()-56)),"")</f>
        <v>https://elecciones.comunidad.madrid/es/informacion-util/simulacion-metodo-dhondt</v>
      </c>
      <c r="D69" s="99" t="s">
        <v>184</v>
      </c>
      <c r="E69" s="79" t="str">
        <f t="shared" si="2"/>
        <v/>
      </c>
      <c r="F69" s="18"/>
      <c r="G69" s="18"/>
      <c r="H69" s="18"/>
      <c r="I69" s="18"/>
      <c r="J69" s="18"/>
      <c r="K69" s="184"/>
    </row>
    <row r="70" spans="1:11"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Ley D'Hondt</v>
      </c>
      <c r="C70" s="85" t="str" cm="1">
        <f t="array" ref="C70">IFERROR(INDEX('03.Muestra'!$F$8:$F$42,SMALL(IF("Página Web"='03.Muestra'!$D$8:$D$42,ROW('03.Muestra'!$F$8:$F$42)-MIN(ROW('03.Muestra'!$D$8:$D$42))+1,""),ROW()-56)),"")</f>
        <v>https://elecciones.comunidad.madrid/es/resultados/ley_d_hondt</v>
      </c>
      <c r="D70" s="99" t="s">
        <v>184</v>
      </c>
      <c r="E70" s="79" t="str">
        <f t="shared" si="2"/>
        <v/>
      </c>
      <c r="F70" s="18"/>
      <c r="G70" s="18"/>
      <c r="H70" s="18"/>
      <c r="I70" s="18"/>
      <c r="J70" s="18"/>
      <c r="K70" s="184"/>
    </row>
    <row r="71" spans="1:11"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Voto por correo elector CERA en España</v>
      </c>
      <c r="C71" s="85" t="str" cm="1">
        <f t="array" ref="C71">IFERROR(INDEX('03.Muestra'!$F$8:$F$42,SMALL(IF("Página Web"='03.Muestra'!$D$8:$D$42,ROW('03.Muestra'!$F$8:$F$42)-MIN(ROW('03.Muestra'!$D$8:$D$42))+1,""),ROW()-56)),"")</f>
        <v>https://elecciones.comunidad.madrid/es/preguntas-frecuentes/voto-correo-electores-residentes-extranjero</v>
      </c>
      <c r="D71" s="99" t="s">
        <v>184</v>
      </c>
      <c r="E71" s="79" t="str">
        <f t="shared" si="2"/>
        <v/>
      </c>
      <c r="F71" s="18"/>
      <c r="G71" s="18"/>
      <c r="H71" s="18"/>
      <c r="I71" s="18"/>
      <c r="J71" s="18"/>
      <c r="K71" s="184"/>
    </row>
    <row r="72" spans="1:11"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Contacto</v>
      </c>
      <c r="C72" s="85" t="str" cm="1">
        <f t="array" ref="C72">IFERROR(INDEX('03.Muestra'!$F$8:$F$42,SMALL(IF("Página Web"='03.Muestra'!$D$8:$D$42,ROW('03.Muestra'!$F$8:$F$42)-MIN(ROW('03.Muestra'!$D$8:$D$42))+1,""),ROW()-56)),"")</f>
        <v>https://elecciones.comunidad.madrid/es/buzon-de-sugerencias</v>
      </c>
      <c r="D72" s="99" t="s">
        <v>184</v>
      </c>
      <c r="E72" s="79" t="str">
        <f t="shared" si="2"/>
        <v/>
      </c>
      <c r="F72" s="18"/>
      <c r="G72" s="18"/>
      <c r="H72" s="18"/>
      <c r="I72" s="18"/>
      <c r="J72" s="18"/>
      <c r="K72" s="184"/>
    </row>
    <row r="73" spans="1:11"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Buscador</v>
      </c>
      <c r="C73" s="85" t="str" cm="1">
        <f t="array" ref="C73">IFERROR(INDEX('03.Muestra'!$F$8:$F$42,SMALL(IF("Página Web"='03.Muestra'!$D$8:$D$42,ROW('03.Muestra'!$F$8:$F$42)-MIN(ROW('03.Muestra'!$D$8:$D$42))+1,""),ROW()-56)),"")</f>
        <v>https://elecciones.comunidad.madrid/es/search?search_api_fulltext=partido</v>
      </c>
      <c r="D73" s="99" t="s">
        <v>184</v>
      </c>
      <c r="E73" s="79" t="str">
        <f t="shared" si="2"/>
        <v/>
      </c>
      <c r="F73" s="18"/>
      <c r="G73" s="18"/>
      <c r="H73" s="18"/>
      <c r="I73" s="18"/>
      <c r="J73" s="18"/>
      <c r="K73" s="184"/>
    </row>
    <row r="74" spans="1:11"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Legal-Privacidad</v>
      </c>
      <c r="C74" s="85" t="str" cm="1">
        <f t="array" ref="C74">IFERROR(INDEX('03.Muestra'!$F$8:$F$42,SMALL(IF("Página Web"='03.Muestra'!$D$8:$D$42,ROW('03.Muestra'!$F$8:$F$42)-MIN(ROW('03.Muestra'!$D$8:$D$42))+1,""),ROW()-56)),"")</f>
        <v>https://elecciones.comunidad.madrid/es/aviso-legal</v>
      </c>
      <c r="D74" s="99" t="s">
        <v>184</v>
      </c>
      <c r="E74" s="79" t="str">
        <f t="shared" si="2"/>
        <v/>
      </c>
      <c r="F74" s="18"/>
      <c r="G74" s="18"/>
      <c r="H74" s="18"/>
      <c r="I74" s="18"/>
      <c r="J74" s="18"/>
      <c r="K74" s="184"/>
    </row>
    <row r="75" spans="1:11"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https://elecciones.comunidad.madrid/es/sitemap</v>
      </c>
      <c r="D75" s="99" t="s">
        <v>184</v>
      </c>
      <c r="E75" s="79" t="str">
        <f t="shared" si="2"/>
        <v/>
      </c>
      <c r="F75" s="18"/>
      <c r="G75" s="18"/>
      <c r="H75" s="18"/>
      <c r="I75" s="18"/>
      <c r="J75" s="18"/>
      <c r="K75" s="184"/>
    </row>
    <row r="76" spans="1:11"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Declaracion Accesibilidad</v>
      </c>
      <c r="C76" s="85" t="str" cm="1">
        <f t="array" ref="C76">IFERROR(INDEX('03.Muestra'!$F$8:$F$42,SMALL(IF("Página Web"='03.Muestra'!$D$8:$D$42,ROW('03.Muestra'!$F$8:$F$42)-MIN(ROW('03.Muestra'!$D$8:$D$42))+1,""),ROW()-56)),"")</f>
        <v>https://elecciones.comunidad.madrid/es/accesibilidad</v>
      </c>
      <c r="D76" s="99" t="s">
        <v>184</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181</v>
      </c>
      <c r="B94" s="23" t="s">
        <v>173</v>
      </c>
      <c r="C94" s="24" t="s">
        <v>324</v>
      </c>
      <c r="D94" s="25" t="s">
        <v>183</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https://elecciones.comunidad.madrid/es</v>
      </c>
      <c r="D95" s="99" t="s">
        <v>184</v>
      </c>
      <c r="E95" s="79" t="str">
        <f t="shared" ref="E95:E129" si="4">IF(D95&lt;&gt;"",IF(AND(B95&lt;&gt;"",C95&lt;&gt;""),"","ERR"),"")</f>
        <v/>
      </c>
      <c r="F95" s="86" t="s">
        <v>185</v>
      </c>
      <c r="G95" s="87" t="s">
        <v>186</v>
      </c>
      <c r="H95" s="88" t="s">
        <v>184</v>
      </c>
      <c r="I95" s="89" t="s">
        <v>176</v>
      </c>
      <c r="J95" s="90" t="s">
        <v>174</v>
      </c>
      <c r="K95" s="179" t="s">
        <v>180</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Resultado Elecciones 28M 2023</v>
      </c>
      <c r="C96" s="85" t="str" cm="1">
        <f t="array" ref="C96">IFERROR(INDEX('03.Muestra'!$F$8:$F$42,SMALL(IF("Página Web"='03.Muestra'!$D$8:$D$42,ROW('03.Muestra'!$F$8:$F$42)-MIN(ROW('03.Muestra'!$D$8:$D$42))+1,""),ROW()-94)),"")</f>
        <v>https://elecciones.comunidad.madrid/es/resultados-elecciones-asamblea-madrid-28m-2023</v>
      </c>
      <c r="D96" s="99" t="s">
        <v>184</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Normativa electoral</v>
      </c>
      <c r="C97" s="85" t="str" cm="1">
        <f t="array" ref="C97">IFERROR(INDEX('03.Muestra'!$F$8:$F$42,SMALL(IF("Página Web"='03.Muestra'!$D$8:$D$42,ROW('03.Muestra'!$F$8:$F$42)-MIN(ROW('03.Muestra'!$D$8:$D$42))+1,""),ROW()-94)),"")</f>
        <v>https://elecciones.comunidad.madrid/es/informacion-electoral/normativa-electoral</v>
      </c>
      <c r="D97" s="99" t="s">
        <v>184</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Calendario electoral</v>
      </c>
      <c r="C98" s="85" t="str" cm="1">
        <f t="array" ref="C98">IFERROR(INDEX('03.Muestra'!$F$8:$F$42,SMALL(IF("Página Web"='03.Muestra'!$D$8:$D$42,ROW('03.Muestra'!$F$8:$F$42)-MIN(ROW('03.Muestra'!$D$8:$D$42))+1,""),ROW()-94)),"")</f>
        <v>https://elecciones.comunidad.madrid/es/informacion-electoral/calendario-electoral</v>
      </c>
      <c r="D98" s="99" t="s">
        <v>184</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Direcciones y teléfonos</v>
      </c>
      <c r="C99" s="85" t="str" cm="1">
        <f t="array" ref="C99">IFERROR(INDEX('03.Muestra'!$F$8:$F$42,SMALL(IF("Página Web"='03.Muestra'!$D$8:$D$42,ROW('03.Muestra'!$F$8:$F$42)-MIN(ROW('03.Muestra'!$D$8:$D$42))+1,""),ROW()-94)),"")</f>
        <v>https://elecciones.comunidad.madrid/es/juntas-electorales/direcciones-telefonos</v>
      </c>
      <c r="D99" s="99" t="s">
        <v>184</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Impresos electrónicos</v>
      </c>
      <c r="C100" s="85" t="str" cm="1">
        <f t="array" ref="C100">IFERROR(INDEX('03.Muestra'!$F$8:$F$42,SMALL(IF("Página Web"='03.Muestra'!$D$8:$D$42,ROW('03.Muestra'!$F$8:$F$42)-MIN(ROW('03.Muestra'!$D$8:$D$42))+1,""),ROW()-94)),"")</f>
        <v>https://elecciones.comunidad.madrid/es/formaciones-politicas/impresos-electronicos</v>
      </c>
      <c r="D100" s="99" t="s">
        <v>184</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Listado de candidaturas</v>
      </c>
      <c r="C101" s="85" t="str" cm="1">
        <f t="array" ref="C101">IFERROR(INDEX('03.Muestra'!$F$8:$F$42,SMALL(IF("Página Web"='03.Muestra'!$D$8:$D$42,ROW('03.Muestra'!$F$8:$F$42)-MIN(ROW('03.Muestra'!$D$8:$D$42))+1,""),ROW()-94)),"")</f>
        <v>https://elecciones.comunidad.madrid/es/formaciones-politicas/listado-candidaturas-proclamadas</v>
      </c>
      <c r="D101" s="99" t="s">
        <v>184</v>
      </c>
      <c r="E101" s="79" t="str">
        <f t="shared" si="4"/>
        <v/>
      </c>
      <c r="F101" s="18"/>
      <c r="G101" s="18"/>
      <c r="H101" s="18"/>
      <c r="I101" s="18"/>
      <c r="J101" s="18"/>
      <c r="K101" s="184"/>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Partido Feminista de España</v>
      </c>
      <c r="C102" s="85" t="str" cm="1">
        <f t="array" ref="C102">IFERROR(INDEX('03.Muestra'!$F$8:$F$42,SMALL(IF("Página Web"='03.Muestra'!$D$8:$D$42,ROW('03.Muestra'!$F$8:$F$42)-MIN(ROW('03.Muestra'!$D$8:$D$42))+1,""),ROW()-94)),"")</f>
        <v>https://elecciones.comunidad.madrid/es/formaciones-politicas/listado-candidaturas/partido-feminista-espana</v>
      </c>
      <c r="D102" s="99" t="s">
        <v>184</v>
      </c>
      <c r="E102" s="79" t="str">
        <f t="shared" si="4"/>
        <v/>
      </c>
      <c r="F102" s="18"/>
      <c r="G102" s="18"/>
      <c r="H102" s="18"/>
      <c r="I102" s="18"/>
      <c r="J102" s="18"/>
      <c r="K102" s="184"/>
    </row>
    <row r="103" spans="1:11"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¿Dónde voto?</v>
      </c>
      <c r="C103" s="85" t="str" cm="1">
        <f t="array" ref="C103">IFERROR(INDEX('03.Muestra'!$F$8:$F$42,SMALL(IF("Página Web"='03.Muestra'!$D$8:$D$42,ROW('03.Muestra'!$F$8:$F$42)-MIN(ROW('03.Muestra'!$D$8:$D$42))+1,""),ROW()-94)),"")</f>
        <v>https://elecciones.comunidad.madrid/es/votar/donde-voto</v>
      </c>
      <c r="D103" s="99" t="s">
        <v>184</v>
      </c>
      <c r="E103" s="79" t="str">
        <f t="shared" si="4"/>
        <v/>
      </c>
      <c r="F103" s="18"/>
      <c r="G103" s="18"/>
      <c r="H103" s="18"/>
      <c r="I103" s="18"/>
      <c r="J103" s="18"/>
      <c r="K103" s="184"/>
    </row>
    <row r="104" spans="1:11"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Voto presencial</v>
      </c>
      <c r="C104" s="85" t="str" cm="1">
        <f t="array" ref="C104">IFERROR(INDEX('03.Muestra'!$F$8:$F$42,SMALL(IF("Página Web"='03.Muestra'!$D$8:$D$42,ROW('03.Muestra'!$F$8:$F$42)-MIN(ROW('03.Muestra'!$D$8:$D$42))+1,""),ROW()-94)),"")</f>
        <v>https://elecciones.comunidad.madrid/es/voto-local-electoral/voto-presencial</v>
      </c>
      <c r="D104" s="99" t="s">
        <v>184</v>
      </c>
      <c r="E104" s="79" t="str">
        <f t="shared" si="4"/>
        <v/>
      </c>
      <c r="F104" s="18"/>
      <c r="G104" s="18"/>
      <c r="H104" s="18"/>
      <c r="I104" s="18"/>
      <c r="J104" s="18"/>
      <c r="K104" s="184"/>
    </row>
    <row r="105" spans="1:11"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Ciudadanos temporalmente en el extranjero</v>
      </c>
      <c r="C105" s="85" t="str" cm="1">
        <f t="array" ref="C105">IFERROR(INDEX('03.Muestra'!$F$8:$F$42,SMALL(IF("Página Web"='03.Muestra'!$D$8:$D$42,ROW('03.Muestra'!$F$8:$F$42)-MIN(ROW('03.Muestra'!$D$8:$D$42))+1,""),ROW()-94)),"")</f>
        <v>https://elecciones.comunidad.madrid/es/voto-correo/solicitud-voto-temporalmente-ausentes</v>
      </c>
      <c r="D105" s="99" t="s">
        <v>184</v>
      </c>
      <c r="E105" s="79" t="str">
        <f t="shared" si="4"/>
        <v/>
      </c>
      <c r="F105" s="18"/>
      <c r="G105" s="18"/>
      <c r="H105" s="18"/>
      <c r="I105" s="18"/>
      <c r="J105" s="18"/>
      <c r="K105" s="184"/>
    </row>
    <row r="106" spans="1:11"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Nuevo votante</v>
      </c>
      <c r="C106" s="85" t="str" cm="1">
        <f t="array" ref="C106">IFERROR(INDEX('03.Muestra'!$F$8:$F$42,SMALL(IF("Página Web"='03.Muestra'!$D$8:$D$42,ROW('03.Muestra'!$F$8:$F$42)-MIN(ROW('03.Muestra'!$D$8:$D$42))+1,""),ROW()-94)),"")</f>
        <v>https://elecciones.comunidad.madrid/es/votar/nuevo-votante</v>
      </c>
      <c r="D106" s="99" t="s">
        <v>184</v>
      </c>
      <c r="E106" s="79" t="str">
        <f t="shared" si="4"/>
        <v/>
      </c>
      <c r="F106" s="18"/>
      <c r="G106" s="18"/>
      <c r="H106" s="18"/>
      <c r="I106" s="18"/>
      <c r="J106" s="18"/>
      <c r="K106" s="184"/>
    </row>
    <row r="107" spans="1:11"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Simulación método D'Hondt</v>
      </c>
      <c r="C107" s="85" t="str" cm="1">
        <f t="array" ref="C107">IFERROR(INDEX('03.Muestra'!$F$8:$F$42,SMALL(IF("Página Web"='03.Muestra'!$D$8:$D$42,ROW('03.Muestra'!$F$8:$F$42)-MIN(ROW('03.Muestra'!$D$8:$D$42))+1,""),ROW()-94)),"")</f>
        <v>https://elecciones.comunidad.madrid/es/informacion-util/simulacion-metodo-dhondt</v>
      </c>
      <c r="D107" s="99" t="s">
        <v>184</v>
      </c>
      <c r="E107" s="79" t="str">
        <f t="shared" si="4"/>
        <v/>
      </c>
      <c r="F107" s="18"/>
      <c r="G107" s="18"/>
      <c r="H107" s="18"/>
      <c r="I107" s="18"/>
      <c r="J107" s="18"/>
      <c r="K107" s="184"/>
    </row>
    <row r="108" spans="1:11"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Ley D'Hondt</v>
      </c>
      <c r="C108" s="85" t="str" cm="1">
        <f t="array" ref="C108">IFERROR(INDEX('03.Muestra'!$F$8:$F$42,SMALL(IF("Página Web"='03.Muestra'!$D$8:$D$42,ROW('03.Muestra'!$F$8:$F$42)-MIN(ROW('03.Muestra'!$D$8:$D$42))+1,""),ROW()-94)),"")</f>
        <v>https://elecciones.comunidad.madrid/es/resultados/ley_d_hondt</v>
      </c>
      <c r="D108" s="99" t="s">
        <v>184</v>
      </c>
      <c r="E108" s="79" t="str">
        <f t="shared" si="4"/>
        <v/>
      </c>
      <c r="F108" s="18"/>
      <c r="G108" s="18"/>
      <c r="H108" s="18"/>
      <c r="I108" s="18"/>
      <c r="J108" s="18"/>
      <c r="K108" s="184"/>
    </row>
    <row r="109" spans="1:11"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Voto por correo elector CERA en España</v>
      </c>
      <c r="C109" s="85" t="str" cm="1">
        <f t="array" ref="C109">IFERROR(INDEX('03.Muestra'!$F$8:$F$42,SMALL(IF("Página Web"='03.Muestra'!$D$8:$D$42,ROW('03.Muestra'!$F$8:$F$42)-MIN(ROW('03.Muestra'!$D$8:$D$42))+1,""),ROW()-94)),"")</f>
        <v>https://elecciones.comunidad.madrid/es/preguntas-frecuentes/voto-correo-electores-residentes-extranjero</v>
      </c>
      <c r="D109" s="99" t="s">
        <v>184</v>
      </c>
      <c r="E109" s="79" t="str">
        <f t="shared" si="4"/>
        <v/>
      </c>
      <c r="F109" s="18"/>
      <c r="G109" s="18"/>
      <c r="H109" s="18"/>
      <c r="I109" s="18"/>
      <c r="J109" s="18"/>
      <c r="K109" s="184"/>
    </row>
    <row r="110" spans="1:11"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Contacto</v>
      </c>
      <c r="C110" s="85" t="str" cm="1">
        <f t="array" ref="C110">IFERROR(INDEX('03.Muestra'!$F$8:$F$42,SMALL(IF("Página Web"='03.Muestra'!$D$8:$D$42,ROW('03.Muestra'!$F$8:$F$42)-MIN(ROW('03.Muestra'!$D$8:$D$42))+1,""),ROW()-94)),"")</f>
        <v>https://elecciones.comunidad.madrid/es/buzon-de-sugerencias</v>
      </c>
      <c r="D110" s="99" t="s">
        <v>184</v>
      </c>
      <c r="E110" s="79" t="str">
        <f t="shared" si="4"/>
        <v/>
      </c>
      <c r="F110" s="18"/>
      <c r="G110" s="18"/>
      <c r="H110" s="18"/>
      <c r="I110" s="18"/>
      <c r="J110" s="18"/>
      <c r="K110" s="184"/>
    </row>
    <row r="111" spans="1:11"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Buscador</v>
      </c>
      <c r="C111" s="85" t="str" cm="1">
        <f t="array" ref="C111">IFERROR(INDEX('03.Muestra'!$F$8:$F$42,SMALL(IF("Página Web"='03.Muestra'!$D$8:$D$42,ROW('03.Muestra'!$F$8:$F$42)-MIN(ROW('03.Muestra'!$D$8:$D$42))+1,""),ROW()-94)),"")</f>
        <v>https://elecciones.comunidad.madrid/es/search?search_api_fulltext=partido</v>
      </c>
      <c r="D111" s="99" t="s">
        <v>184</v>
      </c>
      <c r="E111" s="79" t="str">
        <f t="shared" si="4"/>
        <v/>
      </c>
      <c r="F111" s="18"/>
      <c r="G111" s="18"/>
      <c r="H111" s="18"/>
      <c r="I111" s="18"/>
      <c r="J111" s="18"/>
      <c r="K111" s="184"/>
    </row>
    <row r="112" spans="1:11" ht="12"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Legal-Privacidad</v>
      </c>
      <c r="C112" s="85" t="str" cm="1">
        <f t="array" ref="C112">IFERROR(INDEX('03.Muestra'!$F$8:$F$42,SMALL(IF("Página Web"='03.Muestra'!$D$8:$D$42,ROW('03.Muestra'!$F$8:$F$42)-MIN(ROW('03.Muestra'!$D$8:$D$42))+1,""),ROW()-94)),"")</f>
        <v>https://elecciones.comunidad.madrid/es/aviso-legal</v>
      </c>
      <c r="D112" s="99" t="s">
        <v>184</v>
      </c>
      <c r="E112" s="79" t="str">
        <f t="shared" si="4"/>
        <v/>
      </c>
      <c r="F112" s="18"/>
      <c r="G112" s="18"/>
      <c r="H112" s="18"/>
      <c r="I112" s="18"/>
      <c r="J112" s="18"/>
      <c r="K112" s="184"/>
    </row>
    <row r="113" spans="1:11" ht="12"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https://elecciones.comunidad.madrid/es/sitemap</v>
      </c>
      <c r="D113" s="99" t="s">
        <v>184</v>
      </c>
      <c r="E113" s="79" t="str">
        <f t="shared" si="4"/>
        <v/>
      </c>
      <c r="F113" s="18"/>
      <c r="G113" s="18"/>
      <c r="H113" s="18"/>
      <c r="I113" s="18"/>
      <c r="J113" s="18"/>
      <c r="K113" s="184"/>
    </row>
    <row r="114" spans="1:11" ht="12"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Declaracion Accesibilidad</v>
      </c>
      <c r="C114" s="85" t="str" cm="1">
        <f t="array" ref="C114">IFERROR(INDEX('03.Muestra'!$F$8:$F$42,SMALL(IF("Página Web"='03.Muestra'!$D$8:$D$42,ROW('03.Muestra'!$F$8:$F$42)-MIN(ROW('03.Muestra'!$D$8:$D$42))+1,""),ROW()-94)),"")</f>
        <v>https://elecciones.comunidad.madrid/es/accesibilidad</v>
      </c>
      <c r="D114" s="99" t="s">
        <v>184</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181</v>
      </c>
      <c r="B132" s="23" t="s">
        <v>173</v>
      </c>
      <c r="C132" s="24" t="s">
        <v>325</v>
      </c>
      <c r="D132" s="25" t="s">
        <v>183</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https://elecciones.comunidad.madrid/es</v>
      </c>
      <c r="D133" s="99" t="s">
        <v>184</v>
      </c>
      <c r="E133" s="79" t="str">
        <f t="shared" ref="E133:E167" si="6">IF(D133&lt;&gt;"",IF(AND(B133&lt;&gt;"",C133&lt;&gt;""),"","ERR"),"")</f>
        <v/>
      </c>
      <c r="F133" s="86" t="s">
        <v>185</v>
      </c>
      <c r="G133" s="87" t="s">
        <v>186</v>
      </c>
      <c r="H133" s="88" t="s">
        <v>184</v>
      </c>
      <c r="I133" s="89" t="s">
        <v>176</v>
      </c>
      <c r="J133" s="90" t="s">
        <v>174</v>
      </c>
      <c r="K133" s="179" t="s">
        <v>180</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Resultado Elecciones 28M 2023</v>
      </c>
      <c r="C134" s="85" t="str" cm="1">
        <f t="array" ref="C134">IFERROR(INDEX('03.Muestra'!$F$8:$F$42,SMALL(IF("Página Web"='03.Muestra'!$D$8:$D$42,ROW('03.Muestra'!$F$8:$F$42)-MIN(ROW('03.Muestra'!$D$8:$D$42))+1,""),ROW()-132)),"")</f>
        <v>https://elecciones.comunidad.madrid/es/resultados-elecciones-asamblea-madrid-28m-2023</v>
      </c>
      <c r="D134" s="99" t="s">
        <v>184</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Normativa electoral</v>
      </c>
      <c r="C135" s="85" t="str" cm="1">
        <f t="array" ref="C135">IFERROR(INDEX('03.Muestra'!$F$8:$F$42,SMALL(IF("Página Web"='03.Muestra'!$D$8:$D$42,ROW('03.Muestra'!$F$8:$F$42)-MIN(ROW('03.Muestra'!$D$8:$D$42))+1,""),ROW()-132)),"")</f>
        <v>https://elecciones.comunidad.madrid/es/informacion-electoral/normativa-electoral</v>
      </c>
      <c r="D135" s="99" t="s">
        <v>184</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Calendario electoral</v>
      </c>
      <c r="C136" s="85" t="str" cm="1">
        <f t="array" ref="C136">IFERROR(INDEX('03.Muestra'!$F$8:$F$42,SMALL(IF("Página Web"='03.Muestra'!$D$8:$D$42,ROW('03.Muestra'!$F$8:$F$42)-MIN(ROW('03.Muestra'!$D$8:$D$42))+1,""),ROW()-132)),"")</f>
        <v>https://elecciones.comunidad.madrid/es/informacion-electoral/calendario-electoral</v>
      </c>
      <c r="D136" s="99" t="s">
        <v>184</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Direcciones y teléfonos</v>
      </c>
      <c r="C137" s="85" t="str" cm="1">
        <f t="array" ref="C137">IFERROR(INDEX('03.Muestra'!$F$8:$F$42,SMALL(IF("Página Web"='03.Muestra'!$D$8:$D$42,ROW('03.Muestra'!$F$8:$F$42)-MIN(ROW('03.Muestra'!$D$8:$D$42))+1,""),ROW()-132)),"")</f>
        <v>https://elecciones.comunidad.madrid/es/juntas-electorales/direcciones-telefonos</v>
      </c>
      <c r="D137" s="99" t="s">
        <v>184</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Impresos electrónicos</v>
      </c>
      <c r="C138" s="85" t="str" cm="1">
        <f t="array" ref="C138">IFERROR(INDEX('03.Muestra'!$F$8:$F$42,SMALL(IF("Página Web"='03.Muestra'!$D$8:$D$42,ROW('03.Muestra'!$F$8:$F$42)-MIN(ROW('03.Muestra'!$D$8:$D$42))+1,""),ROW()-132)),"")</f>
        <v>https://elecciones.comunidad.madrid/es/formaciones-politicas/impresos-electronicos</v>
      </c>
      <c r="D138" s="99" t="s">
        <v>184</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Listado de candidaturas</v>
      </c>
      <c r="C139" s="85" t="str" cm="1">
        <f t="array" ref="C139">IFERROR(INDEX('03.Muestra'!$F$8:$F$42,SMALL(IF("Página Web"='03.Muestra'!$D$8:$D$42,ROW('03.Muestra'!$F$8:$F$42)-MIN(ROW('03.Muestra'!$D$8:$D$42))+1,""),ROW()-132)),"")</f>
        <v>https://elecciones.comunidad.madrid/es/formaciones-politicas/listado-candidaturas-proclamadas</v>
      </c>
      <c r="D139" s="99" t="s">
        <v>184</v>
      </c>
      <c r="E139" s="79" t="str">
        <f t="shared" si="6"/>
        <v/>
      </c>
      <c r="F139" s="18"/>
      <c r="G139" s="18"/>
      <c r="H139" s="18"/>
      <c r="I139" s="18"/>
      <c r="J139" s="18"/>
      <c r="K139" s="184"/>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Partido Feminista de España</v>
      </c>
      <c r="C140" s="85" t="str" cm="1">
        <f t="array" ref="C140">IFERROR(INDEX('03.Muestra'!$F$8:$F$42,SMALL(IF("Página Web"='03.Muestra'!$D$8:$D$42,ROW('03.Muestra'!$F$8:$F$42)-MIN(ROW('03.Muestra'!$D$8:$D$42))+1,""),ROW()-132)),"")</f>
        <v>https://elecciones.comunidad.madrid/es/formaciones-politicas/listado-candidaturas/partido-feminista-espana</v>
      </c>
      <c r="D140" s="99" t="s">
        <v>184</v>
      </c>
      <c r="E140" s="79" t="str">
        <f t="shared" si="6"/>
        <v/>
      </c>
      <c r="F140" s="18"/>
      <c r="G140" s="18"/>
      <c r="H140" s="18"/>
      <c r="I140" s="18"/>
      <c r="J140" s="18"/>
      <c r="K140" s="184"/>
    </row>
    <row r="141" spans="1:11"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¿Dónde voto?</v>
      </c>
      <c r="C141" s="85" t="str" cm="1">
        <f t="array" ref="C141">IFERROR(INDEX('03.Muestra'!$F$8:$F$42,SMALL(IF("Página Web"='03.Muestra'!$D$8:$D$42,ROW('03.Muestra'!$F$8:$F$42)-MIN(ROW('03.Muestra'!$D$8:$D$42))+1,""),ROW()-132)),"")</f>
        <v>https://elecciones.comunidad.madrid/es/votar/donde-voto</v>
      </c>
      <c r="D141" s="99" t="s">
        <v>184</v>
      </c>
      <c r="E141" s="79" t="str">
        <f t="shared" si="6"/>
        <v/>
      </c>
      <c r="F141" s="18"/>
      <c r="G141" s="18"/>
      <c r="H141" s="18"/>
      <c r="I141" s="18"/>
      <c r="J141" s="18"/>
      <c r="K141" s="184"/>
    </row>
    <row r="142" spans="1:11"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Voto presencial</v>
      </c>
      <c r="C142" s="85" t="str" cm="1">
        <f t="array" ref="C142">IFERROR(INDEX('03.Muestra'!$F$8:$F$42,SMALL(IF("Página Web"='03.Muestra'!$D$8:$D$42,ROW('03.Muestra'!$F$8:$F$42)-MIN(ROW('03.Muestra'!$D$8:$D$42))+1,""),ROW()-132)),"")</f>
        <v>https://elecciones.comunidad.madrid/es/voto-local-electoral/voto-presencial</v>
      </c>
      <c r="D142" s="99" t="s">
        <v>184</v>
      </c>
      <c r="E142" s="79" t="str">
        <f t="shared" si="6"/>
        <v/>
      </c>
      <c r="F142" s="18"/>
      <c r="G142" s="18"/>
      <c r="H142" s="18"/>
      <c r="I142" s="18"/>
      <c r="J142" s="18"/>
      <c r="K142" s="184"/>
    </row>
    <row r="143" spans="1:11"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Ciudadanos temporalmente en el extranjero</v>
      </c>
      <c r="C143" s="85" t="str" cm="1">
        <f t="array" ref="C143">IFERROR(INDEX('03.Muestra'!$F$8:$F$42,SMALL(IF("Página Web"='03.Muestra'!$D$8:$D$42,ROW('03.Muestra'!$F$8:$F$42)-MIN(ROW('03.Muestra'!$D$8:$D$42))+1,""),ROW()-132)),"")</f>
        <v>https://elecciones.comunidad.madrid/es/voto-correo/solicitud-voto-temporalmente-ausentes</v>
      </c>
      <c r="D143" s="99" t="s">
        <v>184</v>
      </c>
      <c r="E143" s="79" t="str">
        <f t="shared" si="6"/>
        <v/>
      </c>
      <c r="F143" s="18"/>
      <c r="G143" s="18"/>
      <c r="H143" s="18"/>
      <c r="I143" s="18"/>
      <c r="J143" s="18"/>
      <c r="K143" s="184"/>
    </row>
    <row r="144" spans="1:11"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Nuevo votante</v>
      </c>
      <c r="C144" s="85" t="str" cm="1">
        <f t="array" ref="C144">IFERROR(INDEX('03.Muestra'!$F$8:$F$42,SMALL(IF("Página Web"='03.Muestra'!$D$8:$D$42,ROW('03.Muestra'!$F$8:$F$42)-MIN(ROW('03.Muestra'!$D$8:$D$42))+1,""),ROW()-132)),"")</f>
        <v>https://elecciones.comunidad.madrid/es/votar/nuevo-votante</v>
      </c>
      <c r="D144" s="99" t="s">
        <v>184</v>
      </c>
      <c r="E144" s="79" t="str">
        <f t="shared" si="6"/>
        <v/>
      </c>
      <c r="F144" s="18"/>
      <c r="G144" s="18"/>
      <c r="H144" s="18"/>
      <c r="I144" s="18"/>
      <c r="J144" s="18"/>
      <c r="K144" s="184"/>
    </row>
    <row r="145" spans="1:11"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Simulación método D'Hondt</v>
      </c>
      <c r="C145" s="85" t="str" cm="1">
        <f t="array" ref="C145">IFERROR(INDEX('03.Muestra'!$F$8:$F$42,SMALL(IF("Página Web"='03.Muestra'!$D$8:$D$42,ROW('03.Muestra'!$F$8:$F$42)-MIN(ROW('03.Muestra'!$D$8:$D$42))+1,""),ROW()-132)),"")</f>
        <v>https://elecciones.comunidad.madrid/es/informacion-util/simulacion-metodo-dhondt</v>
      </c>
      <c r="D145" s="99" t="s">
        <v>184</v>
      </c>
      <c r="E145" s="79" t="str">
        <f t="shared" si="6"/>
        <v/>
      </c>
      <c r="F145" s="18"/>
      <c r="G145" s="18"/>
      <c r="H145" s="18"/>
      <c r="I145" s="18"/>
      <c r="J145" s="18"/>
      <c r="K145" s="184"/>
    </row>
    <row r="146" spans="1:11"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Ley D'Hondt</v>
      </c>
      <c r="C146" s="85" t="str" cm="1">
        <f t="array" ref="C146">IFERROR(INDEX('03.Muestra'!$F$8:$F$42,SMALL(IF("Página Web"='03.Muestra'!$D$8:$D$42,ROW('03.Muestra'!$F$8:$F$42)-MIN(ROW('03.Muestra'!$D$8:$D$42))+1,""),ROW()-132)),"")</f>
        <v>https://elecciones.comunidad.madrid/es/resultados/ley_d_hondt</v>
      </c>
      <c r="D146" s="99" t="s">
        <v>184</v>
      </c>
      <c r="E146" s="79" t="str">
        <f t="shared" si="6"/>
        <v/>
      </c>
      <c r="F146" s="18"/>
      <c r="G146" s="18"/>
      <c r="H146" s="18"/>
      <c r="I146" s="18"/>
      <c r="J146" s="18"/>
      <c r="K146" s="184"/>
    </row>
    <row r="147" spans="1:11"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Voto por correo elector CERA en España</v>
      </c>
      <c r="C147" s="85" t="str" cm="1">
        <f t="array" ref="C147">IFERROR(INDEX('03.Muestra'!$F$8:$F$42,SMALL(IF("Página Web"='03.Muestra'!$D$8:$D$42,ROW('03.Muestra'!$F$8:$F$42)-MIN(ROW('03.Muestra'!$D$8:$D$42))+1,""),ROW()-132)),"")</f>
        <v>https://elecciones.comunidad.madrid/es/preguntas-frecuentes/voto-correo-electores-residentes-extranjero</v>
      </c>
      <c r="D147" s="99" t="s">
        <v>184</v>
      </c>
      <c r="E147" s="79" t="str">
        <f t="shared" si="6"/>
        <v/>
      </c>
      <c r="F147" s="18"/>
      <c r="G147" s="18"/>
      <c r="H147" s="18"/>
      <c r="I147" s="18"/>
      <c r="J147" s="18"/>
      <c r="K147" s="184"/>
    </row>
    <row r="148" spans="1:11"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Contacto</v>
      </c>
      <c r="C148" s="85" t="str" cm="1">
        <f t="array" ref="C148">IFERROR(INDEX('03.Muestra'!$F$8:$F$42,SMALL(IF("Página Web"='03.Muestra'!$D$8:$D$42,ROW('03.Muestra'!$F$8:$F$42)-MIN(ROW('03.Muestra'!$D$8:$D$42))+1,""),ROW()-132)),"")</f>
        <v>https://elecciones.comunidad.madrid/es/buzon-de-sugerencias</v>
      </c>
      <c r="D148" s="99" t="s">
        <v>184</v>
      </c>
      <c r="E148" s="79" t="str">
        <f t="shared" si="6"/>
        <v/>
      </c>
      <c r="F148" s="18"/>
      <c r="G148" s="18"/>
      <c r="H148" s="18"/>
      <c r="I148" s="18"/>
      <c r="J148" s="18"/>
      <c r="K148" s="184"/>
    </row>
    <row r="149" spans="1:11"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Buscador</v>
      </c>
      <c r="C149" s="85" t="str" cm="1">
        <f t="array" ref="C149">IFERROR(INDEX('03.Muestra'!$F$8:$F$42,SMALL(IF("Página Web"='03.Muestra'!$D$8:$D$42,ROW('03.Muestra'!$F$8:$F$42)-MIN(ROW('03.Muestra'!$D$8:$D$42))+1,""),ROW()-132)),"")</f>
        <v>https://elecciones.comunidad.madrid/es/search?search_api_fulltext=partido</v>
      </c>
      <c r="D149" s="99" t="s">
        <v>184</v>
      </c>
      <c r="E149" s="79" t="str">
        <f t="shared" si="6"/>
        <v/>
      </c>
      <c r="F149" s="18"/>
      <c r="G149" s="18"/>
      <c r="H149" s="18"/>
      <c r="I149" s="18"/>
      <c r="J149" s="18"/>
      <c r="K149" s="184"/>
    </row>
    <row r="150" spans="1:11" ht="12"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Legal-Privacidad</v>
      </c>
      <c r="C150" s="85" t="str" cm="1">
        <f t="array" ref="C150">IFERROR(INDEX('03.Muestra'!$F$8:$F$42,SMALL(IF("Página Web"='03.Muestra'!$D$8:$D$42,ROW('03.Muestra'!$F$8:$F$42)-MIN(ROW('03.Muestra'!$D$8:$D$42))+1,""),ROW()-132)),"")</f>
        <v>https://elecciones.comunidad.madrid/es/aviso-legal</v>
      </c>
      <c r="D150" s="99" t="s">
        <v>184</v>
      </c>
      <c r="E150" s="79" t="str">
        <f t="shared" si="6"/>
        <v/>
      </c>
      <c r="F150" s="18"/>
      <c r="G150" s="18"/>
      <c r="H150" s="18"/>
      <c r="I150" s="18"/>
      <c r="J150" s="18"/>
      <c r="K150" s="184"/>
    </row>
    <row r="151" spans="1:11" ht="12"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https://elecciones.comunidad.madrid/es/sitemap</v>
      </c>
      <c r="D151" s="99" t="s">
        <v>184</v>
      </c>
      <c r="E151" s="79" t="str">
        <f t="shared" si="6"/>
        <v/>
      </c>
      <c r="F151" s="18"/>
      <c r="G151" s="18"/>
      <c r="H151" s="18"/>
      <c r="I151" s="18"/>
      <c r="J151" s="18"/>
      <c r="K151" s="184"/>
    </row>
    <row r="152" spans="1:11" ht="12"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Declaracion Accesibilidad</v>
      </c>
      <c r="C152" s="85" t="str" cm="1">
        <f t="array" ref="C152">IFERROR(INDEX('03.Muestra'!$F$8:$F$42,SMALL(IF("Página Web"='03.Muestra'!$D$8:$D$42,ROW('03.Muestra'!$F$8:$F$42)-MIN(ROW('03.Muestra'!$D$8:$D$42))+1,""),ROW()-132)),"")</f>
        <v>https://elecciones.comunidad.madrid/es/accesibilidad</v>
      </c>
      <c r="D152" s="99" t="s">
        <v>184</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181</v>
      </c>
      <c r="B170" s="23" t="s">
        <v>173</v>
      </c>
      <c r="C170" s="24" t="s">
        <v>326</v>
      </c>
      <c r="D170" s="25" t="s">
        <v>183</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https://elecciones.comunidad.madrid/es</v>
      </c>
      <c r="D171" s="99" t="s">
        <v>184</v>
      </c>
      <c r="E171" s="79" t="str">
        <f t="shared" ref="E171:E205" si="8">IF(D171&lt;&gt;"",IF(AND(B171&lt;&gt;"",C171&lt;&gt;""),"","ERR"),"")</f>
        <v/>
      </c>
      <c r="F171" s="86" t="s">
        <v>185</v>
      </c>
      <c r="G171" s="87" t="s">
        <v>186</v>
      </c>
      <c r="H171" s="88" t="s">
        <v>184</v>
      </c>
      <c r="I171" s="89" t="s">
        <v>176</v>
      </c>
      <c r="J171" s="90" t="s">
        <v>174</v>
      </c>
      <c r="K171" s="179" t="s">
        <v>180</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Resultado Elecciones 28M 2023</v>
      </c>
      <c r="C172" s="85" t="str" cm="1">
        <f t="array" ref="C172">IFERROR(INDEX('03.Muestra'!$F$8:$F$42,SMALL(IF("Página Web"='03.Muestra'!$D$8:$D$42,ROW('03.Muestra'!$F$8:$F$42)-MIN(ROW('03.Muestra'!$D$8:$D$42))+1,""),ROW()-170)),"")</f>
        <v>https://elecciones.comunidad.madrid/es/resultados-elecciones-asamblea-madrid-28m-2023</v>
      </c>
      <c r="D172" s="99" t="s">
        <v>184</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Normativa electoral</v>
      </c>
      <c r="C173" s="85" t="str" cm="1">
        <f t="array" ref="C173">IFERROR(INDEX('03.Muestra'!$F$8:$F$42,SMALL(IF("Página Web"='03.Muestra'!$D$8:$D$42,ROW('03.Muestra'!$F$8:$F$42)-MIN(ROW('03.Muestra'!$D$8:$D$42))+1,""),ROW()-170)),"")</f>
        <v>https://elecciones.comunidad.madrid/es/informacion-electoral/normativa-electoral</v>
      </c>
      <c r="D173" s="99" t="s">
        <v>184</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Calendario electoral</v>
      </c>
      <c r="C174" s="85" t="str" cm="1">
        <f t="array" ref="C174">IFERROR(INDEX('03.Muestra'!$F$8:$F$42,SMALL(IF("Página Web"='03.Muestra'!$D$8:$D$42,ROW('03.Muestra'!$F$8:$F$42)-MIN(ROW('03.Muestra'!$D$8:$D$42))+1,""),ROW()-170)),"")</f>
        <v>https://elecciones.comunidad.madrid/es/informacion-electoral/calendario-electoral</v>
      </c>
      <c r="D174" s="99" t="s">
        <v>184</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Direcciones y teléfonos</v>
      </c>
      <c r="C175" s="85" t="str" cm="1">
        <f t="array" ref="C175">IFERROR(INDEX('03.Muestra'!$F$8:$F$42,SMALL(IF("Página Web"='03.Muestra'!$D$8:$D$42,ROW('03.Muestra'!$F$8:$F$42)-MIN(ROW('03.Muestra'!$D$8:$D$42))+1,""),ROW()-170)),"")</f>
        <v>https://elecciones.comunidad.madrid/es/juntas-electorales/direcciones-telefonos</v>
      </c>
      <c r="D175" s="99" t="s">
        <v>184</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Impresos electrónicos</v>
      </c>
      <c r="C176" s="85" t="str" cm="1">
        <f t="array" ref="C176">IFERROR(INDEX('03.Muestra'!$F$8:$F$42,SMALL(IF("Página Web"='03.Muestra'!$D$8:$D$42,ROW('03.Muestra'!$F$8:$F$42)-MIN(ROW('03.Muestra'!$D$8:$D$42))+1,""),ROW()-170)),"")</f>
        <v>https://elecciones.comunidad.madrid/es/formaciones-politicas/impresos-electronicos</v>
      </c>
      <c r="D176" s="99" t="s">
        <v>184</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Listado de candidaturas</v>
      </c>
      <c r="C177" s="85" t="str" cm="1">
        <f t="array" ref="C177">IFERROR(INDEX('03.Muestra'!$F$8:$F$42,SMALL(IF("Página Web"='03.Muestra'!$D$8:$D$42,ROW('03.Muestra'!$F$8:$F$42)-MIN(ROW('03.Muestra'!$D$8:$D$42))+1,""),ROW()-170)),"")</f>
        <v>https://elecciones.comunidad.madrid/es/formaciones-politicas/listado-candidaturas-proclamadas</v>
      </c>
      <c r="D177" s="99" t="s">
        <v>184</v>
      </c>
      <c r="E177" s="79" t="str">
        <f t="shared" si="8"/>
        <v/>
      </c>
      <c r="F177" s="18"/>
      <c r="G177" s="18"/>
      <c r="H177" s="18"/>
      <c r="I177" s="18"/>
      <c r="J177" s="18"/>
      <c r="K177" s="184"/>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Partido Feminista de España</v>
      </c>
      <c r="C178" s="85" t="str" cm="1">
        <f t="array" ref="C178">IFERROR(INDEX('03.Muestra'!$F$8:$F$42,SMALL(IF("Página Web"='03.Muestra'!$D$8:$D$42,ROW('03.Muestra'!$F$8:$F$42)-MIN(ROW('03.Muestra'!$D$8:$D$42))+1,""),ROW()-170)),"")</f>
        <v>https://elecciones.comunidad.madrid/es/formaciones-politicas/listado-candidaturas/partido-feminista-espana</v>
      </c>
      <c r="D178" s="99" t="s">
        <v>184</v>
      </c>
      <c r="E178" s="79" t="str">
        <f t="shared" si="8"/>
        <v/>
      </c>
      <c r="F178" s="18"/>
      <c r="G178" s="18"/>
      <c r="H178" s="18"/>
      <c r="I178" s="18"/>
      <c r="J178" s="18"/>
      <c r="K178" s="184"/>
    </row>
    <row r="179" spans="1:11"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¿Dónde voto?</v>
      </c>
      <c r="C179" s="85" t="str" cm="1">
        <f t="array" ref="C179">IFERROR(INDEX('03.Muestra'!$F$8:$F$42,SMALL(IF("Página Web"='03.Muestra'!$D$8:$D$42,ROW('03.Muestra'!$F$8:$F$42)-MIN(ROW('03.Muestra'!$D$8:$D$42))+1,""),ROW()-170)),"")</f>
        <v>https://elecciones.comunidad.madrid/es/votar/donde-voto</v>
      </c>
      <c r="D179" s="99" t="s">
        <v>184</v>
      </c>
      <c r="E179" s="79" t="str">
        <f t="shared" si="8"/>
        <v/>
      </c>
      <c r="F179" s="18"/>
      <c r="G179" s="18"/>
      <c r="H179" s="18"/>
      <c r="I179" s="18"/>
      <c r="J179" s="18"/>
      <c r="K179" s="184"/>
    </row>
    <row r="180" spans="1:11"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Voto presencial</v>
      </c>
      <c r="C180" s="85" t="str" cm="1">
        <f t="array" ref="C180">IFERROR(INDEX('03.Muestra'!$F$8:$F$42,SMALL(IF("Página Web"='03.Muestra'!$D$8:$D$42,ROW('03.Muestra'!$F$8:$F$42)-MIN(ROW('03.Muestra'!$D$8:$D$42))+1,""),ROW()-170)),"")</f>
        <v>https://elecciones.comunidad.madrid/es/voto-local-electoral/voto-presencial</v>
      </c>
      <c r="D180" s="99" t="s">
        <v>184</v>
      </c>
      <c r="E180" s="79" t="str">
        <f t="shared" si="8"/>
        <v/>
      </c>
      <c r="F180" s="18"/>
      <c r="G180" s="18"/>
      <c r="H180" s="18"/>
      <c r="I180" s="18"/>
      <c r="J180" s="18"/>
      <c r="K180" s="184"/>
    </row>
    <row r="181" spans="1:11"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Ciudadanos temporalmente en el extranjero</v>
      </c>
      <c r="C181" s="85" t="str" cm="1">
        <f t="array" ref="C181">IFERROR(INDEX('03.Muestra'!$F$8:$F$42,SMALL(IF("Página Web"='03.Muestra'!$D$8:$D$42,ROW('03.Muestra'!$F$8:$F$42)-MIN(ROW('03.Muestra'!$D$8:$D$42))+1,""),ROW()-170)),"")</f>
        <v>https://elecciones.comunidad.madrid/es/voto-correo/solicitud-voto-temporalmente-ausentes</v>
      </c>
      <c r="D181" s="99" t="s">
        <v>184</v>
      </c>
      <c r="E181" s="79" t="str">
        <f t="shared" si="8"/>
        <v/>
      </c>
      <c r="F181" s="18"/>
      <c r="G181" s="18"/>
      <c r="H181" s="18"/>
      <c r="I181" s="18"/>
      <c r="J181" s="18"/>
      <c r="K181" s="184"/>
    </row>
    <row r="182" spans="1:11"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Nuevo votante</v>
      </c>
      <c r="C182" s="85" t="str" cm="1">
        <f t="array" ref="C182">IFERROR(INDEX('03.Muestra'!$F$8:$F$42,SMALL(IF("Página Web"='03.Muestra'!$D$8:$D$42,ROW('03.Muestra'!$F$8:$F$42)-MIN(ROW('03.Muestra'!$D$8:$D$42))+1,""),ROW()-170)),"")</f>
        <v>https://elecciones.comunidad.madrid/es/votar/nuevo-votante</v>
      </c>
      <c r="D182" s="99" t="s">
        <v>184</v>
      </c>
      <c r="E182" s="79" t="str">
        <f t="shared" si="8"/>
        <v/>
      </c>
      <c r="F182" s="18"/>
      <c r="G182" s="18"/>
      <c r="H182" s="18"/>
      <c r="I182" s="18"/>
      <c r="J182" s="18"/>
      <c r="K182" s="184"/>
    </row>
    <row r="183" spans="1:11"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Simulación método D'Hondt</v>
      </c>
      <c r="C183" s="85" t="str" cm="1">
        <f t="array" ref="C183">IFERROR(INDEX('03.Muestra'!$F$8:$F$42,SMALL(IF("Página Web"='03.Muestra'!$D$8:$D$42,ROW('03.Muestra'!$F$8:$F$42)-MIN(ROW('03.Muestra'!$D$8:$D$42))+1,""),ROW()-170)),"")</f>
        <v>https://elecciones.comunidad.madrid/es/informacion-util/simulacion-metodo-dhondt</v>
      </c>
      <c r="D183" s="99" t="s">
        <v>184</v>
      </c>
      <c r="E183" s="79" t="str">
        <f t="shared" si="8"/>
        <v/>
      </c>
      <c r="F183" s="18"/>
      <c r="G183" s="18"/>
      <c r="H183" s="18"/>
      <c r="I183" s="18"/>
      <c r="J183" s="18"/>
      <c r="K183" s="184"/>
    </row>
    <row r="184" spans="1:11"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Ley D'Hondt</v>
      </c>
      <c r="C184" s="85" t="str" cm="1">
        <f t="array" ref="C184">IFERROR(INDEX('03.Muestra'!$F$8:$F$42,SMALL(IF("Página Web"='03.Muestra'!$D$8:$D$42,ROW('03.Muestra'!$F$8:$F$42)-MIN(ROW('03.Muestra'!$D$8:$D$42))+1,""),ROW()-170)),"")</f>
        <v>https://elecciones.comunidad.madrid/es/resultados/ley_d_hondt</v>
      </c>
      <c r="D184" s="99" t="s">
        <v>184</v>
      </c>
      <c r="E184" s="79" t="str">
        <f t="shared" si="8"/>
        <v/>
      </c>
      <c r="F184" s="18"/>
      <c r="G184" s="18"/>
      <c r="H184" s="18"/>
      <c r="I184" s="18"/>
      <c r="J184" s="18"/>
      <c r="K184" s="184"/>
    </row>
    <row r="185" spans="1:11"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Voto por correo elector CERA en España</v>
      </c>
      <c r="C185" s="85" t="str" cm="1">
        <f t="array" ref="C185">IFERROR(INDEX('03.Muestra'!$F$8:$F$42,SMALL(IF("Página Web"='03.Muestra'!$D$8:$D$42,ROW('03.Muestra'!$F$8:$F$42)-MIN(ROW('03.Muestra'!$D$8:$D$42))+1,""),ROW()-170)),"")</f>
        <v>https://elecciones.comunidad.madrid/es/preguntas-frecuentes/voto-correo-electores-residentes-extranjero</v>
      </c>
      <c r="D185" s="99" t="s">
        <v>184</v>
      </c>
      <c r="E185" s="79" t="str">
        <f t="shared" si="8"/>
        <v/>
      </c>
      <c r="F185" s="18"/>
      <c r="G185" s="18"/>
      <c r="H185" s="18"/>
      <c r="I185" s="18"/>
      <c r="J185" s="18"/>
      <c r="K185" s="184"/>
    </row>
    <row r="186" spans="1:11"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Contacto</v>
      </c>
      <c r="C186" s="85" t="str" cm="1">
        <f t="array" ref="C186">IFERROR(INDEX('03.Muestra'!$F$8:$F$42,SMALL(IF("Página Web"='03.Muestra'!$D$8:$D$42,ROW('03.Muestra'!$F$8:$F$42)-MIN(ROW('03.Muestra'!$D$8:$D$42))+1,""),ROW()-170)),"")</f>
        <v>https://elecciones.comunidad.madrid/es/buzon-de-sugerencias</v>
      </c>
      <c r="D186" s="99" t="s">
        <v>184</v>
      </c>
      <c r="E186" s="79" t="str">
        <f t="shared" si="8"/>
        <v/>
      </c>
      <c r="F186" s="18"/>
      <c r="G186" s="18"/>
      <c r="H186" s="18"/>
      <c r="I186" s="18"/>
      <c r="J186" s="18"/>
      <c r="K186" s="184"/>
    </row>
    <row r="187" spans="1:11"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Buscador</v>
      </c>
      <c r="C187" s="85" t="str" cm="1">
        <f t="array" ref="C187">IFERROR(INDEX('03.Muestra'!$F$8:$F$42,SMALL(IF("Página Web"='03.Muestra'!$D$8:$D$42,ROW('03.Muestra'!$F$8:$F$42)-MIN(ROW('03.Muestra'!$D$8:$D$42))+1,""),ROW()-170)),"")</f>
        <v>https://elecciones.comunidad.madrid/es/search?search_api_fulltext=partido</v>
      </c>
      <c r="D187" s="99" t="s">
        <v>184</v>
      </c>
      <c r="E187" s="79" t="str">
        <f t="shared" si="8"/>
        <v/>
      </c>
      <c r="F187" s="18"/>
      <c r="G187" s="18"/>
      <c r="H187" s="18"/>
      <c r="I187" s="18"/>
      <c r="J187" s="18"/>
      <c r="K187" s="184"/>
    </row>
    <row r="188" spans="1:11" ht="12"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Legal-Privacidad</v>
      </c>
      <c r="C188" s="85" t="str" cm="1">
        <f t="array" ref="C188">IFERROR(INDEX('03.Muestra'!$F$8:$F$42,SMALL(IF("Página Web"='03.Muestra'!$D$8:$D$42,ROW('03.Muestra'!$F$8:$F$42)-MIN(ROW('03.Muestra'!$D$8:$D$42))+1,""),ROW()-170)),"")</f>
        <v>https://elecciones.comunidad.madrid/es/aviso-legal</v>
      </c>
      <c r="D188" s="99" t="s">
        <v>184</v>
      </c>
      <c r="E188" s="79" t="str">
        <f t="shared" si="8"/>
        <v/>
      </c>
      <c r="F188" s="18"/>
      <c r="G188" s="18"/>
      <c r="H188" s="18"/>
      <c r="I188" s="18"/>
      <c r="J188" s="18"/>
      <c r="K188" s="184"/>
    </row>
    <row r="189" spans="1:11" ht="12"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https://elecciones.comunidad.madrid/es/sitemap</v>
      </c>
      <c r="D189" s="99" t="s">
        <v>184</v>
      </c>
      <c r="E189" s="79" t="str">
        <f t="shared" si="8"/>
        <v/>
      </c>
      <c r="F189" s="18"/>
      <c r="G189" s="18"/>
      <c r="H189" s="18"/>
      <c r="I189" s="18"/>
      <c r="J189" s="18"/>
      <c r="K189" s="184"/>
    </row>
    <row r="190" spans="1:11" ht="12"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Declaracion Accesibilidad</v>
      </c>
      <c r="C190" s="85" t="str" cm="1">
        <f t="array" ref="C190">IFERROR(INDEX('03.Muestra'!$F$8:$F$42,SMALL(IF("Página Web"='03.Muestra'!$D$8:$D$42,ROW('03.Muestra'!$F$8:$F$42)-MIN(ROW('03.Muestra'!$D$8:$D$42))+1,""),ROW()-170)),"")</f>
        <v>https://elecciones.comunidad.madrid/es/accesibilidad</v>
      </c>
      <c r="D190" s="99" t="s">
        <v>184</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181</v>
      </c>
      <c r="B208" s="23" t="s">
        <v>173</v>
      </c>
      <c r="C208" s="24" t="s">
        <v>327</v>
      </c>
      <c r="D208" s="25" t="s">
        <v>183</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https://elecciones.comunidad.madrid/es</v>
      </c>
      <c r="D209" s="99" t="s">
        <v>184</v>
      </c>
      <c r="E209" s="79" t="str">
        <f t="shared" ref="E209:E243" si="10">IF(D209&lt;&gt;"",IF(AND(B209&lt;&gt;"",C209&lt;&gt;""),"","ERR"),"")</f>
        <v/>
      </c>
      <c r="F209" s="86" t="s">
        <v>185</v>
      </c>
      <c r="G209" s="87" t="s">
        <v>186</v>
      </c>
      <c r="H209" s="88" t="s">
        <v>184</v>
      </c>
      <c r="I209" s="89" t="s">
        <v>176</v>
      </c>
      <c r="J209" s="90" t="s">
        <v>174</v>
      </c>
      <c r="K209" s="179" t="s">
        <v>180</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Resultado Elecciones 28M 2023</v>
      </c>
      <c r="C210" s="85" t="str" cm="1">
        <f t="array" ref="C210">IFERROR(INDEX('03.Muestra'!$F$8:$F$42,SMALL(IF("Página Web"='03.Muestra'!$D$8:$D$42,ROW('03.Muestra'!$F$8:$F$42)-MIN(ROW('03.Muestra'!$D$8:$D$42))+1,""),ROW()-208)),"")</f>
        <v>https://elecciones.comunidad.madrid/es/resultados-elecciones-asamblea-madrid-28m-2023</v>
      </c>
      <c r="D210" s="99" t="s">
        <v>184</v>
      </c>
      <c r="E210" s="79" t="str">
        <f t="shared" si="10"/>
        <v/>
      </c>
      <c r="F210" s="91">
        <f ca="1">COUNTIF($D209:INDIRECT("$D" &amp;  SUM(ROW()-1,'03.Muestra'!$D$45)-1),F209)</f>
        <v>0</v>
      </c>
      <c r="G210" s="91">
        <f ca="1">COUNTIF($D209:INDIRECT("$D" &amp;  SUM(ROW()-1,'03.Muestra'!$D$45)-1),G209)</f>
        <v>0</v>
      </c>
      <c r="H210" s="91">
        <f ca="1">COUNTIF($D209:INDIRECT("$D" &amp;  SUM(ROW()-1,'03.Muestra'!$D$45)-1),H209)</f>
        <v>20</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Normativa electoral</v>
      </c>
      <c r="C211" s="85" t="str" cm="1">
        <f t="array" ref="C211">IFERROR(INDEX('03.Muestra'!$F$8:$F$42,SMALL(IF("Página Web"='03.Muestra'!$D$8:$D$42,ROW('03.Muestra'!$F$8:$F$42)-MIN(ROW('03.Muestra'!$D$8:$D$42))+1,""),ROW()-208)),"")</f>
        <v>https://elecciones.comunidad.madrid/es/informacion-electoral/normativa-electoral</v>
      </c>
      <c r="D211" s="99" t="s">
        <v>184</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Calendario electoral</v>
      </c>
      <c r="C212" s="85" t="str" cm="1">
        <f t="array" ref="C212">IFERROR(INDEX('03.Muestra'!$F$8:$F$42,SMALL(IF("Página Web"='03.Muestra'!$D$8:$D$42,ROW('03.Muestra'!$F$8:$F$42)-MIN(ROW('03.Muestra'!$D$8:$D$42))+1,""),ROW()-208)),"")</f>
        <v>https://elecciones.comunidad.madrid/es/informacion-electoral/calendario-electoral</v>
      </c>
      <c r="D212" s="99" t="s">
        <v>184</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Direcciones y teléfonos</v>
      </c>
      <c r="C213" s="85" t="str" cm="1">
        <f t="array" ref="C213">IFERROR(INDEX('03.Muestra'!$F$8:$F$42,SMALL(IF("Página Web"='03.Muestra'!$D$8:$D$42,ROW('03.Muestra'!$F$8:$F$42)-MIN(ROW('03.Muestra'!$D$8:$D$42))+1,""),ROW()-208)),"")</f>
        <v>https://elecciones.comunidad.madrid/es/juntas-electorales/direcciones-telefonos</v>
      </c>
      <c r="D213" s="99" t="s">
        <v>184</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Impresos electrónicos</v>
      </c>
      <c r="C214" s="85" t="str" cm="1">
        <f t="array" ref="C214">IFERROR(INDEX('03.Muestra'!$F$8:$F$42,SMALL(IF("Página Web"='03.Muestra'!$D$8:$D$42,ROW('03.Muestra'!$F$8:$F$42)-MIN(ROW('03.Muestra'!$D$8:$D$42))+1,""),ROW()-208)),"")</f>
        <v>https://elecciones.comunidad.madrid/es/formaciones-politicas/impresos-electronicos</v>
      </c>
      <c r="D214" s="99" t="s">
        <v>184</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Listado de candidaturas</v>
      </c>
      <c r="C215" s="85" t="str" cm="1">
        <f t="array" ref="C215">IFERROR(INDEX('03.Muestra'!$F$8:$F$42,SMALL(IF("Página Web"='03.Muestra'!$D$8:$D$42,ROW('03.Muestra'!$F$8:$F$42)-MIN(ROW('03.Muestra'!$D$8:$D$42))+1,""),ROW()-208)),"")</f>
        <v>https://elecciones.comunidad.madrid/es/formaciones-politicas/listado-candidaturas-proclamadas</v>
      </c>
      <c r="D215" s="99" t="s">
        <v>184</v>
      </c>
      <c r="E215" s="79" t="str">
        <f t="shared" si="10"/>
        <v/>
      </c>
      <c r="F215" s="18"/>
      <c r="G215" s="18"/>
      <c r="H215" s="18"/>
      <c r="I215" s="18"/>
      <c r="J215" s="18"/>
      <c r="K215" s="184"/>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Partido Feminista de España</v>
      </c>
      <c r="C216" s="85" t="str" cm="1">
        <f t="array" ref="C216">IFERROR(INDEX('03.Muestra'!$F$8:$F$42,SMALL(IF("Página Web"='03.Muestra'!$D$8:$D$42,ROW('03.Muestra'!$F$8:$F$42)-MIN(ROW('03.Muestra'!$D$8:$D$42))+1,""),ROW()-208)),"")</f>
        <v>https://elecciones.comunidad.madrid/es/formaciones-politicas/listado-candidaturas/partido-feminista-espana</v>
      </c>
      <c r="D216" s="99" t="s">
        <v>184</v>
      </c>
      <c r="E216" s="79" t="str">
        <f t="shared" si="10"/>
        <v/>
      </c>
      <c r="F216" s="18"/>
      <c r="G216" s="18"/>
      <c r="H216" s="18"/>
      <c r="I216" s="18"/>
      <c r="J216" s="18"/>
      <c r="K216" s="184"/>
    </row>
    <row r="217" spans="1:11"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¿Dónde voto?</v>
      </c>
      <c r="C217" s="85" t="str" cm="1">
        <f t="array" ref="C217">IFERROR(INDEX('03.Muestra'!$F$8:$F$42,SMALL(IF("Página Web"='03.Muestra'!$D$8:$D$42,ROW('03.Muestra'!$F$8:$F$42)-MIN(ROW('03.Muestra'!$D$8:$D$42))+1,""),ROW()-208)),"")</f>
        <v>https://elecciones.comunidad.madrid/es/votar/donde-voto</v>
      </c>
      <c r="D217" s="99" t="s">
        <v>184</v>
      </c>
      <c r="E217" s="79" t="str">
        <f t="shared" si="10"/>
        <v/>
      </c>
      <c r="F217" s="18"/>
      <c r="G217" s="18"/>
      <c r="H217" s="18"/>
      <c r="I217" s="18"/>
      <c r="J217" s="18"/>
      <c r="K217" s="184"/>
    </row>
    <row r="218" spans="1:11"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Voto presencial</v>
      </c>
      <c r="C218" s="85" t="str" cm="1">
        <f t="array" ref="C218">IFERROR(INDEX('03.Muestra'!$F$8:$F$42,SMALL(IF("Página Web"='03.Muestra'!$D$8:$D$42,ROW('03.Muestra'!$F$8:$F$42)-MIN(ROW('03.Muestra'!$D$8:$D$42))+1,""),ROW()-208)),"")</f>
        <v>https://elecciones.comunidad.madrid/es/voto-local-electoral/voto-presencial</v>
      </c>
      <c r="D218" s="99" t="s">
        <v>184</v>
      </c>
      <c r="E218" s="79" t="str">
        <f t="shared" si="10"/>
        <v/>
      </c>
      <c r="F218" s="18"/>
      <c r="G218" s="18"/>
      <c r="H218" s="18"/>
      <c r="I218" s="18"/>
      <c r="J218" s="18"/>
      <c r="K218" s="184"/>
    </row>
    <row r="219" spans="1:11"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Ciudadanos temporalmente en el extranjero</v>
      </c>
      <c r="C219" s="85" t="str" cm="1">
        <f t="array" ref="C219">IFERROR(INDEX('03.Muestra'!$F$8:$F$42,SMALL(IF("Página Web"='03.Muestra'!$D$8:$D$42,ROW('03.Muestra'!$F$8:$F$42)-MIN(ROW('03.Muestra'!$D$8:$D$42))+1,""),ROW()-208)),"")</f>
        <v>https://elecciones.comunidad.madrid/es/voto-correo/solicitud-voto-temporalmente-ausentes</v>
      </c>
      <c r="D219" s="99" t="s">
        <v>184</v>
      </c>
      <c r="E219" s="79" t="str">
        <f t="shared" si="10"/>
        <v/>
      </c>
      <c r="F219" s="18"/>
      <c r="G219" s="18"/>
      <c r="H219" s="18"/>
      <c r="I219" s="18"/>
      <c r="J219" s="18"/>
      <c r="K219" s="184"/>
    </row>
    <row r="220" spans="1:11"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Nuevo votante</v>
      </c>
      <c r="C220" s="85" t="str" cm="1">
        <f t="array" ref="C220">IFERROR(INDEX('03.Muestra'!$F$8:$F$42,SMALL(IF("Página Web"='03.Muestra'!$D$8:$D$42,ROW('03.Muestra'!$F$8:$F$42)-MIN(ROW('03.Muestra'!$D$8:$D$42))+1,""),ROW()-208)),"")</f>
        <v>https://elecciones.comunidad.madrid/es/votar/nuevo-votante</v>
      </c>
      <c r="D220" s="99" t="s">
        <v>184</v>
      </c>
      <c r="E220" s="79" t="str">
        <f t="shared" si="10"/>
        <v/>
      </c>
      <c r="F220" s="18"/>
      <c r="G220" s="18"/>
      <c r="H220" s="18"/>
      <c r="I220" s="18"/>
      <c r="J220" s="18"/>
      <c r="K220" s="184"/>
    </row>
    <row r="221" spans="1:11"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Simulación método D'Hondt</v>
      </c>
      <c r="C221" s="85" t="str" cm="1">
        <f t="array" ref="C221">IFERROR(INDEX('03.Muestra'!$F$8:$F$42,SMALL(IF("Página Web"='03.Muestra'!$D$8:$D$42,ROW('03.Muestra'!$F$8:$F$42)-MIN(ROW('03.Muestra'!$D$8:$D$42))+1,""),ROW()-208)),"")</f>
        <v>https://elecciones.comunidad.madrid/es/informacion-util/simulacion-metodo-dhondt</v>
      </c>
      <c r="D221" s="99" t="s">
        <v>184</v>
      </c>
      <c r="E221" s="79" t="str">
        <f t="shared" si="10"/>
        <v/>
      </c>
      <c r="F221" s="18"/>
      <c r="G221" s="18"/>
      <c r="H221" s="18"/>
      <c r="I221" s="18"/>
      <c r="J221" s="18"/>
      <c r="K221" s="184"/>
    </row>
    <row r="222" spans="1:11"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Ley D'Hondt</v>
      </c>
      <c r="C222" s="85" t="str" cm="1">
        <f t="array" ref="C222">IFERROR(INDEX('03.Muestra'!$F$8:$F$42,SMALL(IF("Página Web"='03.Muestra'!$D$8:$D$42,ROW('03.Muestra'!$F$8:$F$42)-MIN(ROW('03.Muestra'!$D$8:$D$42))+1,""),ROW()-208)),"")</f>
        <v>https://elecciones.comunidad.madrid/es/resultados/ley_d_hondt</v>
      </c>
      <c r="D222" s="99" t="s">
        <v>184</v>
      </c>
      <c r="E222" s="79" t="str">
        <f t="shared" si="10"/>
        <v/>
      </c>
      <c r="F222" s="18"/>
      <c r="G222" s="18"/>
      <c r="H222" s="18"/>
      <c r="I222" s="18"/>
      <c r="J222" s="18"/>
      <c r="K222" s="184"/>
    </row>
    <row r="223" spans="1:11"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Voto por correo elector CERA en España</v>
      </c>
      <c r="C223" s="85" t="str" cm="1">
        <f t="array" ref="C223">IFERROR(INDEX('03.Muestra'!$F$8:$F$42,SMALL(IF("Página Web"='03.Muestra'!$D$8:$D$42,ROW('03.Muestra'!$F$8:$F$42)-MIN(ROW('03.Muestra'!$D$8:$D$42))+1,""),ROW()-208)),"")</f>
        <v>https://elecciones.comunidad.madrid/es/preguntas-frecuentes/voto-correo-electores-residentes-extranjero</v>
      </c>
      <c r="D223" s="99" t="s">
        <v>184</v>
      </c>
      <c r="E223" s="79" t="str">
        <f t="shared" si="10"/>
        <v/>
      </c>
      <c r="F223" s="18"/>
      <c r="G223" s="18"/>
      <c r="H223" s="18"/>
      <c r="I223" s="18"/>
      <c r="J223" s="18"/>
      <c r="K223" s="184"/>
    </row>
    <row r="224" spans="1:11"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Contacto</v>
      </c>
      <c r="C224" s="85" t="str" cm="1">
        <f t="array" ref="C224">IFERROR(INDEX('03.Muestra'!$F$8:$F$42,SMALL(IF("Página Web"='03.Muestra'!$D$8:$D$42,ROW('03.Muestra'!$F$8:$F$42)-MIN(ROW('03.Muestra'!$D$8:$D$42))+1,""),ROW()-208)),"")</f>
        <v>https://elecciones.comunidad.madrid/es/buzon-de-sugerencias</v>
      </c>
      <c r="D224" s="99" t="s">
        <v>184</v>
      </c>
      <c r="E224" s="79" t="str">
        <f t="shared" si="10"/>
        <v/>
      </c>
      <c r="F224" s="18"/>
      <c r="G224" s="18"/>
      <c r="H224" s="18"/>
      <c r="I224" s="18"/>
      <c r="J224" s="18"/>
      <c r="K224" s="184"/>
    </row>
    <row r="225" spans="1:11"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Buscador</v>
      </c>
      <c r="C225" s="85" t="str" cm="1">
        <f t="array" ref="C225">IFERROR(INDEX('03.Muestra'!$F$8:$F$42,SMALL(IF("Página Web"='03.Muestra'!$D$8:$D$42,ROW('03.Muestra'!$F$8:$F$42)-MIN(ROW('03.Muestra'!$D$8:$D$42))+1,""),ROW()-208)),"")</f>
        <v>https://elecciones.comunidad.madrid/es/search?search_api_fulltext=partido</v>
      </c>
      <c r="D225" s="99" t="s">
        <v>184</v>
      </c>
      <c r="E225" s="79" t="str">
        <f t="shared" si="10"/>
        <v/>
      </c>
      <c r="F225" s="18"/>
      <c r="G225" s="18"/>
      <c r="H225" s="18"/>
      <c r="I225" s="18"/>
      <c r="J225" s="18"/>
      <c r="K225" s="184"/>
    </row>
    <row r="226" spans="1:11" ht="12"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Aviso Legal-Privacidad</v>
      </c>
      <c r="C226" s="85" t="str" cm="1">
        <f t="array" ref="C226">IFERROR(INDEX('03.Muestra'!$F$8:$F$42,SMALL(IF("Página Web"='03.Muestra'!$D$8:$D$42,ROW('03.Muestra'!$F$8:$F$42)-MIN(ROW('03.Muestra'!$D$8:$D$42))+1,""),ROW()-208)),"")</f>
        <v>https://elecciones.comunidad.madrid/es/aviso-legal</v>
      </c>
      <c r="D226" s="99" t="s">
        <v>184</v>
      </c>
      <c r="E226" s="79" t="str">
        <f t="shared" si="10"/>
        <v/>
      </c>
      <c r="F226" s="18"/>
      <c r="G226" s="18"/>
      <c r="H226" s="18"/>
      <c r="I226" s="18"/>
      <c r="J226" s="18"/>
      <c r="K226" s="184"/>
    </row>
    <row r="227" spans="1:11" ht="12"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Mapa Web</v>
      </c>
      <c r="C227" s="85" t="str" cm="1">
        <f t="array" ref="C227">IFERROR(INDEX('03.Muestra'!$F$8:$F$42,SMALL(IF("Página Web"='03.Muestra'!$D$8:$D$42,ROW('03.Muestra'!$F$8:$F$42)-MIN(ROW('03.Muestra'!$D$8:$D$42))+1,""),ROW()-208)),"")</f>
        <v>https://elecciones.comunidad.madrid/es/sitemap</v>
      </c>
      <c r="D227" s="99" t="s">
        <v>184</v>
      </c>
      <c r="E227" s="79" t="str">
        <f t="shared" si="10"/>
        <v/>
      </c>
      <c r="F227" s="18"/>
      <c r="G227" s="18"/>
      <c r="H227" s="18"/>
      <c r="I227" s="18"/>
      <c r="J227" s="18"/>
      <c r="K227" s="184"/>
    </row>
    <row r="228" spans="1:11" ht="12"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Declaracion Accesibilidad</v>
      </c>
      <c r="C228" s="85" t="str" cm="1">
        <f t="array" ref="C228">IFERROR(INDEX('03.Muestra'!$F$8:$F$42,SMALL(IF("Página Web"='03.Muestra'!$D$8:$D$42,ROW('03.Muestra'!$F$8:$F$42)-MIN(ROW('03.Muestra'!$D$8:$D$42))+1,""),ROW()-208)),"")</f>
        <v>https://elecciones.comunidad.madrid/es/accesibilidad</v>
      </c>
      <c r="D228" s="99" t="s">
        <v>184</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4.5">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D11:D1048576 D1:D7">
    <cfRule type="cellIs" dxfId="206" priority="1099" stopIfTrue="1" operator="equal">
      <formula>"-"</formula>
    </cfRule>
  </conditionalFormatting>
  <conditionalFormatting sqref="D19:D53 D57:D91 D95:D129 D133:D167 D171:D205 D209:D243 F19:J19 F57:J57 F95:J95 F133:J133 F171:J171 F209:J209">
    <cfRule type="expression" dxfId="205" priority="1346" stopIfTrue="1">
      <formula>ISBLANK(D19)</formula>
    </cfRule>
  </conditionalFormatting>
  <conditionalFormatting sqref="D19:D53">
    <cfRule type="expression" dxfId="204" priority="589" stopIfTrue="1">
      <formula>ISBLANK(D19)</formula>
    </cfRule>
    <cfRule type="cellIs" dxfId="203" priority="594" stopIfTrue="1" operator="equal">
      <formula>"N/D"</formula>
    </cfRule>
    <cfRule type="cellIs" dxfId="202" priority="593" stopIfTrue="1" operator="equal">
      <formula>"N/T"</formula>
    </cfRule>
    <cfRule type="cellIs" dxfId="201" priority="592" stopIfTrue="1" operator="equal">
      <formula>"N/A"</formula>
    </cfRule>
    <cfRule type="cellIs" dxfId="200" priority="591" stopIfTrue="1" operator="equal">
      <formula>"Falla"</formula>
    </cfRule>
    <cfRule type="cellIs" dxfId="199" priority="590" stopIfTrue="1" operator="equal">
      <formula>"Pasa"</formula>
    </cfRule>
    <cfRule type="cellIs" dxfId="198" priority="588" stopIfTrue="1" operator="equal">
      <formula>"N/D"</formula>
    </cfRule>
    <cfRule type="cellIs" dxfId="197" priority="587" stopIfTrue="1" operator="equal">
      <formula>"N/T"</formula>
    </cfRule>
    <cfRule type="cellIs" dxfId="196" priority="586" stopIfTrue="1" operator="equal">
      <formula>"N/A"</formula>
    </cfRule>
    <cfRule type="cellIs" dxfId="195" priority="585" stopIfTrue="1" operator="equal">
      <formula>"Falla"</formula>
    </cfRule>
    <cfRule type="cellIs" dxfId="194" priority="584" stopIfTrue="1" operator="equal">
      <formula>"Pasa"</formula>
    </cfRule>
    <cfRule type="expression" dxfId="193" priority="583" stopIfTrue="1">
      <formula>ISBLANK(D19)</formula>
    </cfRule>
  </conditionalFormatting>
  <conditionalFormatting sqref="D57">
    <cfRule type="cellIs" dxfId="192" priority="117" stopIfTrue="1" operator="equal">
      <formula>"Falla"</formula>
    </cfRule>
    <cfRule type="cellIs" dxfId="191" priority="118" stopIfTrue="1" operator="equal">
      <formula>"N/A"</formula>
    </cfRule>
    <cfRule type="cellIs" dxfId="190" priority="120" stopIfTrue="1" operator="equal">
      <formula>"N/D"</formula>
    </cfRule>
    <cfRule type="cellIs" dxfId="189" priority="116" stopIfTrue="1" operator="equal">
      <formula>"Pasa"</formula>
    </cfRule>
    <cfRule type="cellIs" dxfId="188" priority="119" stopIfTrue="1" operator="equal">
      <formula>"N/T"</formula>
    </cfRule>
    <cfRule type="expression" dxfId="187" priority="115" stopIfTrue="1">
      <formula>ISBLANK(D57)</formula>
    </cfRule>
  </conditionalFormatting>
  <conditionalFormatting sqref="D57:D58">
    <cfRule type="expression" dxfId="186" priority="103" stopIfTrue="1">
      <formula>ISBLANK(D57)</formula>
    </cfRule>
    <cfRule type="cellIs" dxfId="185" priority="104" stopIfTrue="1" operator="equal">
      <formula>"Pasa"</formula>
    </cfRule>
    <cfRule type="cellIs" dxfId="184" priority="108" stopIfTrue="1" operator="equal">
      <formula>"N/D"</formula>
    </cfRule>
    <cfRule type="cellIs" dxfId="183" priority="107" stopIfTrue="1" operator="equal">
      <formula>"N/T"</formula>
    </cfRule>
    <cfRule type="cellIs" dxfId="182" priority="106" stopIfTrue="1" operator="equal">
      <formula>"N/A"</formula>
    </cfRule>
    <cfRule type="cellIs" dxfId="181" priority="105" stopIfTrue="1" operator="equal">
      <formula>"Falla"</formula>
    </cfRule>
  </conditionalFormatting>
  <conditionalFormatting sqref="D57:D91">
    <cfRule type="cellIs" dxfId="180" priority="573" stopIfTrue="1" operator="equal">
      <formula>"Falla"</formula>
    </cfRule>
    <cfRule type="cellIs" dxfId="179" priority="572" stopIfTrue="1" operator="equal">
      <formula>"Pasa"</formula>
    </cfRule>
    <cfRule type="expression" dxfId="178" priority="571" stopIfTrue="1">
      <formula>ISBLANK(D57)</formula>
    </cfRule>
    <cfRule type="cellIs" dxfId="177" priority="582" stopIfTrue="1" operator="equal">
      <formula>"N/D"</formula>
    </cfRule>
    <cfRule type="cellIs" dxfId="176" priority="580" stopIfTrue="1" operator="equal">
      <formula>"N/A"</formula>
    </cfRule>
    <cfRule type="cellIs" dxfId="175" priority="578" stopIfTrue="1" operator="equal">
      <formula>"Pasa"</formula>
    </cfRule>
    <cfRule type="expression" dxfId="174" priority="577" stopIfTrue="1">
      <formula>ISBLANK(D57)</formula>
    </cfRule>
    <cfRule type="cellIs" dxfId="173" priority="581" stopIfTrue="1" operator="equal">
      <formula>"N/T"</formula>
    </cfRule>
    <cfRule type="cellIs" dxfId="172" priority="576" stopIfTrue="1" operator="equal">
      <formula>"N/D"</formula>
    </cfRule>
    <cfRule type="cellIs" dxfId="171" priority="575" stopIfTrue="1" operator="equal">
      <formula>"N/T"</formula>
    </cfRule>
    <cfRule type="cellIs" dxfId="170" priority="574" stopIfTrue="1" operator="equal">
      <formula>"N/A"</formula>
    </cfRule>
    <cfRule type="cellIs" dxfId="169" priority="579" stopIfTrue="1" operator="equal">
      <formula>"Falla"</formula>
    </cfRule>
  </conditionalFormatting>
  <conditionalFormatting sqref="D58">
    <cfRule type="expression" dxfId="168" priority="97" stopIfTrue="1">
      <formula>ISBLANK(D58)</formula>
    </cfRule>
    <cfRule type="cellIs" dxfId="167" priority="98" stopIfTrue="1" operator="equal">
      <formula>"Pasa"</formula>
    </cfRule>
    <cfRule type="cellIs" dxfId="166" priority="99" stopIfTrue="1" operator="equal">
      <formula>"Falla"</formula>
    </cfRule>
    <cfRule type="cellIs" dxfId="165" priority="101" stopIfTrue="1" operator="equal">
      <formula>"N/T"</formula>
    </cfRule>
    <cfRule type="cellIs" dxfId="164" priority="102" stopIfTrue="1" operator="equal">
      <formula>"N/D"</formula>
    </cfRule>
    <cfRule type="cellIs" dxfId="163" priority="100" stopIfTrue="1" operator="equal">
      <formula>"N/A"</formula>
    </cfRule>
  </conditionalFormatting>
  <conditionalFormatting sqref="D95">
    <cfRule type="cellIs" dxfId="162" priority="96" stopIfTrue="1" operator="equal">
      <formula>"N/D"</formula>
    </cfRule>
    <cfRule type="expression" dxfId="161" priority="91" stopIfTrue="1">
      <formula>ISBLANK(D95)</formula>
    </cfRule>
    <cfRule type="cellIs" dxfId="160" priority="94" stopIfTrue="1" operator="equal">
      <formula>"N/A"</formula>
    </cfRule>
    <cfRule type="cellIs" dxfId="159" priority="93" stopIfTrue="1" operator="equal">
      <formula>"Falla"</formula>
    </cfRule>
    <cfRule type="cellIs" dxfId="158" priority="92" stopIfTrue="1" operator="equal">
      <formula>"Pasa"</formula>
    </cfRule>
    <cfRule type="cellIs" dxfId="157" priority="95" stopIfTrue="1" operator="equal">
      <formula>"N/T"</formula>
    </cfRule>
  </conditionalFormatting>
  <conditionalFormatting sqref="D95:D96">
    <cfRule type="expression" dxfId="156" priority="79" stopIfTrue="1">
      <formula>ISBLANK(D95)</formula>
    </cfRule>
    <cfRule type="cellIs" dxfId="155" priority="80" stopIfTrue="1" operator="equal">
      <formula>"Pasa"</formula>
    </cfRule>
    <cfRule type="cellIs" dxfId="154" priority="81" stopIfTrue="1" operator="equal">
      <formula>"Falla"</formula>
    </cfRule>
    <cfRule type="cellIs" dxfId="153" priority="82" stopIfTrue="1" operator="equal">
      <formula>"N/A"</formula>
    </cfRule>
    <cfRule type="cellIs" dxfId="152" priority="83" stopIfTrue="1" operator="equal">
      <formula>"N/T"</formula>
    </cfRule>
    <cfRule type="cellIs" dxfId="151" priority="84" stopIfTrue="1" operator="equal">
      <formula>"N/D"</formula>
    </cfRule>
  </conditionalFormatting>
  <conditionalFormatting sqref="D95:D129">
    <cfRule type="cellIs" dxfId="150" priority="561" stopIfTrue="1" operator="equal">
      <formula>"Falla"</formula>
    </cfRule>
    <cfRule type="cellIs" dxfId="149" priority="570" stopIfTrue="1" operator="equal">
      <formula>"N/D"</formula>
    </cfRule>
    <cfRule type="cellIs" dxfId="148" priority="569" stopIfTrue="1" operator="equal">
      <formula>"N/T"</formula>
    </cfRule>
    <cfRule type="cellIs" dxfId="147" priority="568" stopIfTrue="1" operator="equal">
      <formula>"N/A"</formula>
    </cfRule>
    <cfRule type="cellIs" dxfId="146" priority="562" stopIfTrue="1" operator="equal">
      <formula>"N/A"</formula>
    </cfRule>
    <cfRule type="cellIs" dxfId="145" priority="564" stopIfTrue="1" operator="equal">
      <formula>"N/D"</formula>
    </cfRule>
    <cfRule type="expression" dxfId="144" priority="565" stopIfTrue="1">
      <formula>ISBLANK(D95)</formula>
    </cfRule>
    <cfRule type="cellIs" dxfId="143" priority="566" stopIfTrue="1" operator="equal">
      <formula>"Pasa"</formula>
    </cfRule>
    <cfRule type="cellIs" dxfId="142" priority="567" stopIfTrue="1" operator="equal">
      <formula>"Falla"</formula>
    </cfRule>
    <cfRule type="cellIs" dxfId="141" priority="563" stopIfTrue="1" operator="equal">
      <formula>"N/T"</formula>
    </cfRule>
    <cfRule type="cellIs" dxfId="140" priority="560" stopIfTrue="1" operator="equal">
      <formula>"Pasa"</formula>
    </cfRule>
    <cfRule type="expression" dxfId="139" priority="559" stopIfTrue="1">
      <formula>ISBLANK(D95)</formula>
    </cfRule>
  </conditionalFormatting>
  <conditionalFormatting sqref="D96">
    <cfRule type="expression" dxfId="138" priority="73" stopIfTrue="1">
      <formula>ISBLANK(D96)</formula>
    </cfRule>
    <cfRule type="cellIs" dxfId="137" priority="74" stopIfTrue="1" operator="equal">
      <formula>"Pasa"</formula>
    </cfRule>
    <cfRule type="cellIs" dxfId="136" priority="77" stopIfTrue="1" operator="equal">
      <formula>"N/T"</formula>
    </cfRule>
    <cfRule type="cellIs" dxfId="135" priority="76" stopIfTrue="1" operator="equal">
      <formula>"N/A"</formula>
    </cfRule>
    <cfRule type="cellIs" dxfId="134" priority="78" stopIfTrue="1" operator="equal">
      <formula>"N/D"</formula>
    </cfRule>
    <cfRule type="cellIs" dxfId="133" priority="75" stopIfTrue="1" operator="equal">
      <formula>"Falla"</formula>
    </cfRule>
  </conditionalFormatting>
  <conditionalFormatting sqref="D133">
    <cfRule type="cellIs" dxfId="132" priority="69" stopIfTrue="1" operator="equal">
      <formula>"Falla"</formula>
    </cfRule>
    <cfRule type="cellIs" dxfId="131" priority="70" stopIfTrue="1" operator="equal">
      <formula>"N/A"</formula>
    </cfRule>
    <cfRule type="cellIs" dxfId="130" priority="71" stopIfTrue="1" operator="equal">
      <formula>"N/T"</formula>
    </cfRule>
    <cfRule type="expression" dxfId="129" priority="67" stopIfTrue="1">
      <formula>ISBLANK(D133)</formula>
    </cfRule>
    <cfRule type="cellIs" dxfId="128" priority="68" stopIfTrue="1" operator="equal">
      <formula>"Pasa"</formula>
    </cfRule>
    <cfRule type="cellIs" dxfId="127" priority="72" stopIfTrue="1" operator="equal">
      <formula>"N/D"</formula>
    </cfRule>
  </conditionalFormatting>
  <conditionalFormatting sqref="D133:D134">
    <cfRule type="cellIs" dxfId="126" priority="56" stopIfTrue="1" operator="equal">
      <formula>"Pasa"</formula>
    </cfRule>
    <cfRule type="cellIs" dxfId="125" priority="57" stopIfTrue="1" operator="equal">
      <formula>"Falla"</formula>
    </cfRule>
    <cfRule type="cellIs" dxfId="124" priority="59" stopIfTrue="1" operator="equal">
      <formula>"N/T"</formula>
    </cfRule>
    <cfRule type="cellIs" dxfId="123" priority="60" stopIfTrue="1" operator="equal">
      <formula>"N/D"</formula>
    </cfRule>
    <cfRule type="expression" dxfId="122" priority="55" stopIfTrue="1">
      <formula>ISBLANK(D133)</formula>
    </cfRule>
    <cfRule type="cellIs" dxfId="121" priority="58" stopIfTrue="1" operator="equal">
      <formula>"N/A"</formula>
    </cfRule>
  </conditionalFormatting>
  <conditionalFormatting sqref="D133:D167">
    <cfRule type="cellIs" dxfId="120" priority="556" stopIfTrue="1" operator="equal">
      <formula>"N/A"</formula>
    </cfRule>
    <cfRule type="cellIs" dxfId="119" priority="557" stopIfTrue="1" operator="equal">
      <formula>"N/T"</formula>
    </cfRule>
    <cfRule type="cellIs" dxfId="118" priority="558" stopIfTrue="1" operator="equal">
      <formula>"N/D"</formula>
    </cfRule>
    <cfRule type="expression" dxfId="117" priority="547" stopIfTrue="1">
      <formula>ISBLANK(D133)</formula>
    </cfRule>
    <cfRule type="cellIs" dxfId="116" priority="548" stopIfTrue="1" operator="equal">
      <formula>"Pasa"</formula>
    </cfRule>
    <cfRule type="cellIs" dxfId="115" priority="549" stopIfTrue="1" operator="equal">
      <formula>"Falla"</formula>
    </cfRule>
    <cfRule type="cellIs" dxfId="114" priority="550" stopIfTrue="1" operator="equal">
      <formula>"N/A"</formula>
    </cfRule>
    <cfRule type="cellIs" dxfId="113" priority="551" stopIfTrue="1" operator="equal">
      <formula>"N/T"</formula>
    </cfRule>
    <cfRule type="cellIs" dxfId="112" priority="552" stopIfTrue="1" operator="equal">
      <formula>"N/D"</formula>
    </cfRule>
    <cfRule type="expression" dxfId="111" priority="553" stopIfTrue="1">
      <formula>ISBLANK(D133)</formula>
    </cfRule>
    <cfRule type="cellIs" dxfId="110" priority="554" stopIfTrue="1" operator="equal">
      <formula>"Pasa"</formula>
    </cfRule>
    <cfRule type="cellIs" dxfId="109" priority="555" stopIfTrue="1" operator="equal">
      <formula>"Falla"</formula>
    </cfRule>
  </conditionalFormatting>
  <conditionalFormatting sqref="D134">
    <cfRule type="cellIs" dxfId="108" priority="51" stopIfTrue="1" operator="equal">
      <formula>"Falla"</formula>
    </cfRule>
    <cfRule type="cellIs" dxfId="107" priority="54" stopIfTrue="1" operator="equal">
      <formula>"N/D"</formula>
    </cfRule>
    <cfRule type="cellIs" dxfId="106" priority="53" stopIfTrue="1" operator="equal">
      <formula>"N/T"</formula>
    </cfRule>
    <cfRule type="cellIs" dxfId="105" priority="52" stopIfTrue="1" operator="equal">
      <formula>"N/A"</formula>
    </cfRule>
    <cfRule type="cellIs" dxfId="104" priority="50" stopIfTrue="1" operator="equal">
      <formula>"Pasa"</formula>
    </cfRule>
    <cfRule type="expression" dxfId="103" priority="49" stopIfTrue="1">
      <formula>ISBLANK(D134)</formula>
    </cfRule>
  </conditionalFormatting>
  <conditionalFormatting sqref="D171">
    <cfRule type="cellIs" dxfId="102" priority="48" stopIfTrue="1" operator="equal">
      <formula>"N/D"</formula>
    </cfRule>
    <cfRule type="cellIs" dxfId="101" priority="45" stopIfTrue="1" operator="equal">
      <formula>"Falla"</formula>
    </cfRule>
    <cfRule type="cellIs" dxfId="100" priority="44" stopIfTrue="1" operator="equal">
      <formula>"Pasa"</formula>
    </cfRule>
    <cfRule type="cellIs" dxfId="99" priority="46" stopIfTrue="1" operator="equal">
      <formula>"N/A"</formula>
    </cfRule>
    <cfRule type="expression" dxfId="98" priority="43" stopIfTrue="1">
      <formula>ISBLANK(D171)</formula>
    </cfRule>
    <cfRule type="cellIs" dxfId="97" priority="47" stopIfTrue="1" operator="equal">
      <formula>"N/T"</formula>
    </cfRule>
  </conditionalFormatting>
  <conditionalFormatting sqref="D171:D172">
    <cfRule type="cellIs" dxfId="96" priority="36" stopIfTrue="1" operator="equal">
      <formula>"N/D"</formula>
    </cfRule>
    <cfRule type="cellIs" dxfId="95" priority="35" stopIfTrue="1" operator="equal">
      <formula>"N/T"</formula>
    </cfRule>
    <cfRule type="cellIs" dxfId="94" priority="34" stopIfTrue="1" operator="equal">
      <formula>"N/A"</formula>
    </cfRule>
    <cfRule type="cellIs" dxfId="93" priority="33" stopIfTrue="1" operator="equal">
      <formula>"Falla"</formula>
    </cfRule>
    <cfRule type="cellIs" dxfId="92" priority="32" stopIfTrue="1" operator="equal">
      <formula>"Pasa"</formula>
    </cfRule>
    <cfRule type="expression" dxfId="91" priority="31" stopIfTrue="1">
      <formula>ISBLANK(D171)</formula>
    </cfRule>
  </conditionalFormatting>
  <conditionalFormatting sqref="D171:D205">
    <cfRule type="cellIs" dxfId="90" priority="542" stopIfTrue="1" operator="equal">
      <formula>"Pasa"</formula>
    </cfRule>
    <cfRule type="cellIs" dxfId="89" priority="544" stopIfTrue="1" operator="equal">
      <formula>"N/A"</formula>
    </cfRule>
    <cfRule type="cellIs" dxfId="88" priority="545" stopIfTrue="1" operator="equal">
      <formula>"N/T"</formula>
    </cfRule>
    <cfRule type="expression" dxfId="87" priority="535" stopIfTrue="1">
      <formula>ISBLANK(D171)</formula>
    </cfRule>
    <cfRule type="cellIs" dxfId="86" priority="546" stopIfTrue="1" operator="equal">
      <formula>"N/D"</formula>
    </cfRule>
    <cfRule type="cellIs" dxfId="85" priority="543" stopIfTrue="1" operator="equal">
      <formula>"Falla"</formula>
    </cfRule>
    <cfRule type="cellIs" dxfId="84" priority="536" stopIfTrue="1" operator="equal">
      <formula>"Pasa"</formula>
    </cfRule>
    <cfRule type="cellIs" dxfId="83" priority="537" stopIfTrue="1" operator="equal">
      <formula>"Falla"</formula>
    </cfRule>
    <cfRule type="cellIs" dxfId="82" priority="538" stopIfTrue="1" operator="equal">
      <formula>"N/A"</formula>
    </cfRule>
    <cfRule type="expression" dxfId="81" priority="541" stopIfTrue="1">
      <formula>ISBLANK(D171)</formula>
    </cfRule>
    <cfRule type="cellIs" dxfId="80" priority="539" stopIfTrue="1" operator="equal">
      <formula>"N/T"</formula>
    </cfRule>
    <cfRule type="cellIs" dxfId="79" priority="540" stopIfTrue="1" operator="equal">
      <formula>"N/D"</formula>
    </cfRule>
  </conditionalFormatting>
  <conditionalFormatting sqref="D172">
    <cfRule type="cellIs" dxfId="78" priority="29" stopIfTrue="1" operator="equal">
      <formula>"N/T"</formula>
    </cfRule>
    <cfRule type="cellIs" dxfId="77" priority="28" stopIfTrue="1" operator="equal">
      <formula>"N/A"</formula>
    </cfRule>
    <cfRule type="cellIs" dxfId="76" priority="27" stopIfTrue="1" operator="equal">
      <formula>"Falla"</formula>
    </cfRule>
    <cfRule type="cellIs" dxfId="75" priority="30" stopIfTrue="1" operator="equal">
      <formula>"N/D"</formula>
    </cfRule>
    <cfRule type="cellIs" dxfId="74" priority="26" stopIfTrue="1" operator="equal">
      <formula>"Pasa"</formula>
    </cfRule>
    <cfRule type="expression" dxfId="73" priority="25" stopIfTrue="1">
      <formula>ISBLANK(D172)</formula>
    </cfRule>
  </conditionalFormatting>
  <conditionalFormatting sqref="D209">
    <cfRule type="cellIs" dxfId="72" priority="23" stopIfTrue="1" operator="equal">
      <formula>"N/T"</formula>
    </cfRule>
    <cfRule type="cellIs" dxfId="71" priority="22" stopIfTrue="1" operator="equal">
      <formula>"N/A"</formula>
    </cfRule>
    <cfRule type="cellIs" dxfId="70" priority="24" stopIfTrue="1" operator="equal">
      <formula>"N/D"</formula>
    </cfRule>
    <cfRule type="cellIs" dxfId="69" priority="21" stopIfTrue="1" operator="equal">
      <formula>"Falla"</formula>
    </cfRule>
    <cfRule type="cellIs" dxfId="68" priority="20" stopIfTrue="1" operator="equal">
      <formula>"Pasa"</formula>
    </cfRule>
    <cfRule type="expression" dxfId="67" priority="19" stopIfTrue="1">
      <formula>ISBLANK(D209)</formula>
    </cfRule>
  </conditionalFormatting>
  <conditionalFormatting sqref="D209:D210">
    <cfRule type="expression" dxfId="66" priority="7" stopIfTrue="1">
      <formula>ISBLANK(D209)</formula>
    </cfRule>
    <cfRule type="cellIs" dxfId="65" priority="12" stopIfTrue="1" operator="equal">
      <formula>"N/D"</formula>
    </cfRule>
    <cfRule type="cellIs" dxfId="64" priority="11" stopIfTrue="1" operator="equal">
      <formula>"N/T"</formula>
    </cfRule>
    <cfRule type="cellIs" dxfId="63" priority="10" stopIfTrue="1" operator="equal">
      <formula>"N/A"</formula>
    </cfRule>
    <cfRule type="cellIs" dxfId="62" priority="9" stopIfTrue="1" operator="equal">
      <formula>"Falla"</formula>
    </cfRule>
    <cfRule type="cellIs" dxfId="61" priority="8" stopIfTrue="1" operator="equal">
      <formula>"Pasa"</formula>
    </cfRule>
  </conditionalFormatting>
  <conditionalFormatting sqref="D209:D243">
    <cfRule type="cellIs" dxfId="60" priority="524" stopIfTrue="1" operator="equal">
      <formula>"Pasa"</formula>
    </cfRule>
    <cfRule type="cellIs" dxfId="59" priority="533" stopIfTrue="1" operator="equal">
      <formula>"N/T"</formula>
    </cfRule>
    <cfRule type="cellIs" dxfId="58" priority="532" stopIfTrue="1" operator="equal">
      <formula>"N/A"</formula>
    </cfRule>
    <cfRule type="cellIs" dxfId="57" priority="531" stopIfTrue="1" operator="equal">
      <formula>"Falla"</formula>
    </cfRule>
    <cfRule type="cellIs" dxfId="56" priority="530" stopIfTrue="1" operator="equal">
      <formula>"Pasa"</formula>
    </cfRule>
    <cfRule type="expression" dxfId="55" priority="529" stopIfTrue="1">
      <formula>ISBLANK(D209)</formula>
    </cfRule>
    <cfRule type="cellIs" dxfId="54" priority="528" stopIfTrue="1" operator="equal">
      <formula>"N/D"</formula>
    </cfRule>
    <cfRule type="cellIs" dxfId="53" priority="527" stopIfTrue="1" operator="equal">
      <formula>"N/T"</formula>
    </cfRule>
    <cfRule type="cellIs" dxfId="52" priority="526" stopIfTrue="1" operator="equal">
      <formula>"N/A"</formula>
    </cfRule>
    <cfRule type="cellIs" dxfId="51" priority="525" stopIfTrue="1" operator="equal">
      <formula>"Falla"</formula>
    </cfRule>
    <cfRule type="expression" dxfId="50" priority="523" stopIfTrue="1">
      <formula>ISBLANK(D209)</formula>
    </cfRule>
    <cfRule type="cellIs" dxfId="49" priority="534" stopIfTrue="1" operator="equal">
      <formula>"N/D"</formula>
    </cfRule>
  </conditionalFormatting>
  <conditionalFormatting sqref="D210">
    <cfRule type="expression" dxfId="48" priority="1" stopIfTrue="1">
      <formula>ISBLANK(D210)</formula>
    </cfRule>
    <cfRule type="cellIs" dxfId="47" priority="2" stopIfTrue="1" operator="equal">
      <formula>"Pasa"</formula>
    </cfRule>
    <cfRule type="cellIs" dxfId="46" priority="3" stopIfTrue="1" operator="equal">
      <formula>"Falla"</formula>
    </cfRule>
    <cfRule type="cellIs" dxfId="45" priority="6" stopIfTrue="1" operator="equal">
      <formula>"N/D"</formula>
    </cfRule>
    <cfRule type="cellIs" dxfId="44" priority="5" stopIfTrue="1" operator="equal">
      <formula>"N/T"</formula>
    </cfRule>
    <cfRule type="cellIs" dxfId="43" priority="4" stopIfTrue="1" operator="equal">
      <formula>"N/A"</formula>
    </cfRule>
  </conditionalFormatting>
  <conditionalFormatting sqref="E19:E53 E57:E91 E95:E129 E133:E167 E171:E205 E209:E243">
    <cfRule type="cellIs" dxfId="42" priority="1352" stopIfTrue="1" operator="equal">
      <formula>"ERR"</formula>
    </cfRule>
  </conditionalFormatting>
  <conditionalFormatting sqref="F19:J19 D19:D53 F57:J57 D57:D91 F95:J95 D95:D129 F133:J133 D133:D167 F171:J171 D171:D205 F209:J209 D209:D243">
    <cfRule type="cellIs" dxfId="41" priority="1347" stopIfTrue="1" operator="equal">
      <formula>"Pasa"</formula>
    </cfRule>
    <cfRule type="cellIs" dxfId="40" priority="1348" stopIfTrue="1" operator="equal">
      <formula>"Falla"</formula>
    </cfRule>
    <cfRule type="cellIs" dxfId="39" priority="1349" stopIfTrue="1" operator="equal">
      <formula>"N/A"</formula>
    </cfRule>
    <cfRule type="cellIs" dxfId="38" priority="1350" stopIfTrue="1" operator="equal">
      <formula>"N/T"</formula>
    </cfRule>
    <cfRule type="cellIs" dxfId="37" priority="1351" stopIfTrue="1" operator="equal">
      <formula>"N/D"</formula>
    </cfRule>
  </conditionalFormatting>
  <conditionalFormatting sqref="K23:K24">
    <cfRule type="expression" dxfId="36" priority="121" stopIfTrue="1">
      <formula>ISBLANK(K23)</formula>
    </cfRule>
    <cfRule type="cellIs" dxfId="35" priority="126" stopIfTrue="1" operator="equal">
      <formula>"N/D"</formula>
    </cfRule>
    <cfRule type="cellIs" dxfId="34" priority="125" stopIfTrue="1" operator="equal">
      <formula>"N/T"</formula>
    </cfRule>
    <cfRule type="cellIs" dxfId="33" priority="124" stopIfTrue="1" operator="equal">
      <formula>"N/A"</formula>
    </cfRule>
    <cfRule type="cellIs" dxfId="32" priority="123" stopIfTrue="1" operator="equal">
      <formula>"Falla"</formula>
    </cfRule>
    <cfRule type="cellIs" dxfId="31" priority="122" stopIfTrue="1" operator="equal">
      <formula>"Pasa"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zoomScale="80" zoomScaleNormal="80" workbookViewId="0">
      <selection activeCell="G157" sqref="G157"/>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4531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165</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1"/>
      <c r="C6" s="131"/>
      <c r="D6" s="131"/>
      <c r="E6" s="132"/>
      <c r="F6" s="131"/>
      <c r="G6" s="131"/>
      <c r="H6" s="131"/>
      <c r="I6" s="131"/>
      <c r="J6" s="131"/>
      <c r="K6" s="131"/>
      <c r="L6" s="131"/>
      <c r="M6" s="131"/>
      <c r="N6" s="18"/>
      <c r="O6" s="18"/>
    </row>
    <row r="7" spans="1:64" ht="12.65" customHeight="1">
      <c r="B7" s="18"/>
      <c r="C7" s="18"/>
      <c r="D7" s="18"/>
      <c r="E7" s="79"/>
      <c r="F7" s="18"/>
      <c r="G7" s="18"/>
      <c r="H7" s="18"/>
      <c r="I7" s="18"/>
      <c r="J7" s="18"/>
      <c r="K7" s="18"/>
      <c r="L7" s="18"/>
      <c r="M7" s="18"/>
      <c r="N7" s="18"/>
      <c r="O7" s="18"/>
    </row>
    <row r="8" spans="1:64" ht="18.899999999999999" customHeight="1">
      <c r="B8" s="82" t="s">
        <v>328</v>
      </c>
      <c r="C8" s="18"/>
      <c r="D8" s="79"/>
      <c r="E8" s="79"/>
      <c r="F8" s="18"/>
      <c r="G8" s="18"/>
      <c r="H8" s="18"/>
      <c r="I8" s="18"/>
      <c r="J8" s="18"/>
      <c r="K8" s="18"/>
      <c r="L8" s="18"/>
      <c r="M8" s="18"/>
      <c r="N8" s="18"/>
      <c r="O8" s="18"/>
    </row>
    <row r="9" spans="1:64" ht="30" customHeight="1">
      <c r="B9" s="231" t="s">
        <v>167</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168</v>
      </c>
      <c r="C11" s="230"/>
      <c r="D11" s="26"/>
      <c r="E11" s="14"/>
      <c r="F11" s="196" t="s">
        <v>169</v>
      </c>
      <c r="G11" s="105" t="s">
        <v>170</v>
      </c>
      <c r="H11" s="197" t="s">
        <v>171</v>
      </c>
      <c r="I11" s="22"/>
      <c r="J11" s="196" t="s">
        <v>172</v>
      </c>
      <c r="K11" s="105" t="s">
        <v>170</v>
      </c>
      <c r="L11" s="197" t="s">
        <v>171</v>
      </c>
      <c r="M11" s="18"/>
      <c r="N11" s="18"/>
      <c r="O11" s="18"/>
      <c r="P11" s="18"/>
      <c r="Q11" s="18"/>
      <c r="R11" s="18"/>
      <c r="U11" s="18"/>
      <c r="V11" s="18"/>
      <c r="W11" s="18"/>
      <c r="X11" s="18"/>
      <c r="Y11" s="18"/>
    </row>
    <row r="12" spans="1:64" ht="12" customHeight="1">
      <c r="B12" s="108" t="s">
        <v>173</v>
      </c>
      <c r="C12" s="198">
        <f>COUNTIF($B$18:$B$4000,B12)</f>
        <v>5</v>
      </c>
      <c r="D12" s="26"/>
      <c r="E12" s="14"/>
      <c r="F12" s="199" t="s">
        <v>174</v>
      </c>
      <c r="G12" s="72">
        <f ca="1">J20+J58+J96+J134+J172</f>
        <v>1</v>
      </c>
      <c r="H12" s="42">
        <f ca="1">IF(($G$15+$K$15)=0,0,G12/($G$15+$K$15))</f>
        <v>0.01</v>
      </c>
      <c r="I12" s="26"/>
      <c r="J12" s="183" t="s">
        <v>175</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176</v>
      </c>
      <c r="G13" s="72">
        <f ca="1">I20+I58+I96+I134+I172</f>
        <v>4</v>
      </c>
      <c r="H13" s="42">
        <f ca="1">IF(($G$15+$K$15)=0,0,G13/($G$15+$K$15))</f>
        <v>0.04</v>
      </c>
      <c r="I13" s="26"/>
      <c r="J13" s="183" t="s">
        <v>177</v>
      </c>
      <c r="K13" s="72">
        <f ca="1">F20+F58+F96+F134+F172</f>
        <v>0</v>
      </c>
      <c r="L13" s="42">
        <f ca="1">IF(($G$15+$K$15)=0,0,K13/($G$15+$K$15))</f>
        <v>0</v>
      </c>
      <c r="M13" s="18"/>
      <c r="N13" s="18"/>
      <c r="O13" s="18"/>
      <c r="P13" s="18"/>
      <c r="Q13" s="18"/>
      <c r="R13" s="18"/>
      <c r="U13" s="18"/>
      <c r="V13" s="18"/>
      <c r="W13" s="18"/>
      <c r="X13" s="18"/>
      <c r="Y13" s="18"/>
    </row>
    <row r="14" spans="1:64" ht="12" customHeight="1" thickBot="1">
      <c r="B14" s="200" t="s">
        <v>178</v>
      </c>
      <c r="C14" s="201">
        <f>C12+C13</f>
        <v>5</v>
      </c>
      <c r="D14" s="26"/>
      <c r="E14" s="14"/>
      <c r="F14" s="199" t="s">
        <v>179</v>
      </c>
      <c r="G14" s="72">
        <f ca="1">H20+H58+H96+H134+H172</f>
        <v>95</v>
      </c>
      <c r="H14" s="42">
        <f ca="1">IF(($G$15+$K$15)=0,0,G14/($G$15+$K$15))</f>
        <v>0.95</v>
      </c>
      <c r="I14" s="26"/>
      <c r="J14" s="183" t="s">
        <v>180</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178</v>
      </c>
      <c r="G15" s="203">
        <f ca="1">SUM(G12:G14)</f>
        <v>100</v>
      </c>
      <c r="H15" s="204">
        <f ca="1">SUM(H12:H14)</f>
        <v>1</v>
      </c>
      <c r="I15" s="26"/>
      <c r="J15" s="200" t="s">
        <v>178</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181</v>
      </c>
      <c r="B18" s="23" t="s">
        <v>173</v>
      </c>
      <c r="C18" s="24" t="s">
        <v>329</v>
      </c>
      <c r="D18" s="25" t="s">
        <v>183</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https://elecciones.comunidad.madrid/es</v>
      </c>
      <c r="D19" s="99" t="s">
        <v>184</v>
      </c>
      <c r="E19" s="79" t="str">
        <f t="shared" ref="E19:E53" si="0">IF(D19&lt;&gt;"",IF(AND(B19&lt;&gt;"",C19&lt;&gt;""),"","ERR"),"")</f>
        <v/>
      </c>
      <c r="F19" s="86" t="s">
        <v>185</v>
      </c>
      <c r="G19" s="87" t="s">
        <v>186</v>
      </c>
      <c r="H19" s="88" t="s">
        <v>184</v>
      </c>
      <c r="I19" s="89" t="s">
        <v>176</v>
      </c>
      <c r="J19" s="90" t="s">
        <v>174</v>
      </c>
      <c r="K19" s="179" t="s">
        <v>180</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Resultado Elecciones 28M 2023</v>
      </c>
      <c r="C20" s="85" t="str" cm="1">
        <f t="array" ref="C20">IFERROR(INDEX('03.Muestra'!$F$8:$F$42,SMALL(IF("Página Web"='03.Muestra'!$D$8:$D$42,ROW('03.Muestra'!$F$8:$F$42)-MIN(ROW('03.Muestra'!$D$8:$D$42))+1,""),ROW()-18)),"")</f>
        <v>https://elecciones.comunidad.madrid/es/resultados-elecciones-asamblea-madrid-28m-2023</v>
      </c>
      <c r="D20" s="99" t="s">
        <v>184</v>
      </c>
      <c r="E20" s="79" t="str">
        <f t="shared" si="0"/>
        <v/>
      </c>
      <c r="F20" s="91">
        <f ca="1">COUNTIF($D19:INDIRECT("$D" &amp;  SUM(ROW()-1,'03.Muestra'!$D$45)-1),F19)</f>
        <v>0</v>
      </c>
      <c r="G20" s="91">
        <f ca="1">COUNTIF($D19:INDIRECT("$D" &amp;  SUM(ROW()-1,'03.Muestra'!$D$45)-1),G19)</f>
        <v>0</v>
      </c>
      <c r="H20" s="91">
        <f ca="1">COUNTIF($D19:INDIRECT("$D" &amp;  SUM(ROW()-1,'03.Muestra'!$D$45)-1),H19)</f>
        <v>19</v>
      </c>
      <c r="I20" s="91">
        <f ca="1">COUNTIF($D19:INDIRECT("$D" &amp;  SUM(ROW()-1,'03.Muestra'!$D$45)-1),I19)</f>
        <v>1</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Normativa electoral</v>
      </c>
      <c r="C21" s="85" t="str" cm="1">
        <f t="array" ref="C21">IFERROR(INDEX('03.Muestra'!$F$8:$F$42,SMALL(IF("Página Web"='03.Muestra'!$D$8:$D$42,ROW('03.Muestra'!$F$8:$F$42)-MIN(ROW('03.Muestra'!$D$8:$D$42))+1,""),ROW()-18)),"")</f>
        <v>https://elecciones.comunidad.madrid/es/informacion-electoral/normativa-electoral</v>
      </c>
      <c r="D21" s="99" t="s">
        <v>184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Calendario electoral</v>
      </c>
      <c r="C22" s="85" t="str" cm="1">
        <f t="array" ref="C22">IFERROR(INDEX('03.Muestra'!$F$8:$F$42,SMALL(IF("Página Web"='03.Muestra'!$D$8:$D$42,ROW('03.Muestra'!$F$8:$F$42)-MIN(ROW('03.Muestra'!$D$8:$D$42))+1,""),ROW()-18)),"")</f>
        <v>https://elecciones.comunidad.madrid/es/informacion-electoral/calendario-electoral</v>
      </c>
      <c r="D22" s="99" t="s">
        <v>184</v>
      </c>
      <c r="E22" s="79" t="str">
        <f t="shared" si="0"/>
        <v/>
      </c>
      <c r="F22" s="18"/>
      <c r="G22" s="18"/>
      <c r="H22" s="18"/>
      <c r="I22" s="18"/>
      <c r="K22" s="170" t="s">
        <v>185</v>
      </c>
      <c r="L22" s="92" t="s">
        <v>187</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Direcciones y teléfonos</v>
      </c>
      <c r="C23" s="85" t="str" cm="1">
        <f t="array" ref="C23">IFERROR(INDEX('03.Muestra'!$F$8:$F$42,SMALL(IF("Página Web"='03.Muestra'!$D$8:$D$42,ROW('03.Muestra'!$F$8:$F$42)-MIN(ROW('03.Muestra'!$D$8:$D$42))+1,""),ROW()-18)),"")</f>
        <v>https://elecciones.comunidad.madrid/es/juntas-electorales/direcciones-telefonos</v>
      </c>
      <c r="D23" s="99" t="s">
        <v>184</v>
      </c>
      <c r="E23" s="79" t="str">
        <f t="shared" si="0"/>
        <v/>
      </c>
      <c r="F23" s="78"/>
      <c r="G23" s="18"/>
      <c r="H23" s="18"/>
      <c r="I23" s="18"/>
      <c r="K23" s="88" t="s">
        <v>184</v>
      </c>
      <c r="L23" s="92" t="s">
        <v>188</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Impresos electrónicos</v>
      </c>
      <c r="C24" s="85" t="str" cm="1">
        <f t="array" ref="C24">IFERROR(INDEX('03.Muestra'!$F$8:$F$42,SMALL(IF("Página Web"='03.Muestra'!$D$8:$D$42,ROW('03.Muestra'!$F$8:$F$42)-MIN(ROW('03.Muestra'!$D$8:$D$42))+1,""),ROW()-18)),"")</f>
        <v>https://elecciones.comunidad.madrid/es/formaciones-politicas/impresos-electronicos</v>
      </c>
      <c r="D24" s="99" t="s">
        <v>184</v>
      </c>
      <c r="E24" s="79" t="str">
        <f t="shared" si="0"/>
        <v/>
      </c>
      <c r="F24" s="18"/>
      <c r="G24" s="18"/>
      <c r="H24" s="18"/>
      <c r="I24" s="18"/>
      <c r="K24" s="87" t="s">
        <v>186</v>
      </c>
      <c r="L24" s="92" t="s">
        <v>189</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Listado de candidaturas</v>
      </c>
      <c r="C25" s="85" t="str" cm="1">
        <f t="array" ref="C25">IFERROR(INDEX('03.Muestra'!$F$8:$F$42,SMALL(IF("Página Web"='03.Muestra'!$D$8:$D$42,ROW('03.Muestra'!$F$8:$F$42)-MIN(ROW('03.Muestra'!$D$8:$D$42))+1,""),ROW()-18)),"")</f>
        <v>https://elecciones.comunidad.madrid/es/formaciones-politicas/listado-candidaturas-proclamadas</v>
      </c>
      <c r="D25" s="99" t="s">
        <v>184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Partido Feminista de España</v>
      </c>
      <c r="C26" s="85" t="str" cm="1">
        <f t="array" ref="C26">IFERROR(INDEX('03.Muestra'!$F$8:$F$42,SMALL(IF("Página Web"='03.Muestra'!$D$8:$D$42,ROW('03.Muestra'!$F$8:$F$42)-MIN(ROW('03.Muestra'!$D$8:$D$42))+1,""),ROW()-18)),"")</f>
        <v>https://elecciones.comunidad.madrid/es/formaciones-politicas/listado-candidaturas/partido-feminista-espana</v>
      </c>
      <c r="D26" s="99" t="s">
        <v>184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¿Dónde voto?</v>
      </c>
      <c r="C27" s="85" t="str" cm="1">
        <f t="array" ref="C27">IFERROR(INDEX('03.Muestra'!$F$8:$F$42,SMALL(IF("Página Web"='03.Muestra'!$D$8:$D$42,ROW('03.Muestra'!$F$8:$F$42)-MIN(ROW('03.Muestra'!$D$8:$D$42))+1,""),ROW()-18)),"")</f>
        <v>https://elecciones.comunidad.madrid/es/votar/donde-voto</v>
      </c>
      <c r="D27" s="99" t="s">
        <v>184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Voto presencial</v>
      </c>
      <c r="C28" s="85" t="str" cm="1">
        <f t="array" ref="C28">IFERROR(INDEX('03.Muestra'!$F$8:$F$42,SMALL(IF("Página Web"='03.Muestra'!$D$8:$D$42,ROW('03.Muestra'!$F$8:$F$42)-MIN(ROW('03.Muestra'!$D$8:$D$42))+1,""),ROW()-18)),"")</f>
        <v>https://elecciones.comunidad.madrid/es/voto-local-electoral/voto-presencial</v>
      </c>
      <c r="D28" s="99" t="s">
        <v>184</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Ciudadanos temporalmente en el extranjero</v>
      </c>
      <c r="C29" s="85" t="str" cm="1">
        <f t="array" ref="C29">IFERROR(INDEX('03.Muestra'!$F$8:$F$42,SMALL(IF("Página Web"='03.Muestra'!$D$8:$D$42,ROW('03.Muestra'!$F$8:$F$42)-MIN(ROW('03.Muestra'!$D$8:$D$42))+1,""),ROW()-18)),"")</f>
        <v>https://elecciones.comunidad.madrid/es/voto-correo/solicitud-voto-temporalmente-ausentes</v>
      </c>
      <c r="D29" s="99" t="s">
        <v>184</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Nuevo votante</v>
      </c>
      <c r="C30" s="85" t="str" cm="1">
        <f t="array" ref="C30">IFERROR(INDEX('03.Muestra'!$F$8:$F$42,SMALL(IF("Página Web"='03.Muestra'!$D$8:$D$42,ROW('03.Muestra'!$F$8:$F$42)-MIN(ROW('03.Muestra'!$D$8:$D$42))+1,""),ROW()-18)),"")</f>
        <v>https://elecciones.comunidad.madrid/es/votar/nuevo-votante</v>
      </c>
      <c r="D30" s="99" t="s">
        <v>184</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Simulación método D'Hondt</v>
      </c>
      <c r="C31" s="85" t="str" cm="1">
        <f t="array" ref="C31">IFERROR(INDEX('03.Muestra'!$F$8:$F$42,SMALL(IF("Página Web"='03.Muestra'!$D$8:$D$42,ROW('03.Muestra'!$F$8:$F$42)-MIN(ROW('03.Muestra'!$D$8:$D$42))+1,""),ROW()-18)),"")</f>
        <v>https://elecciones.comunidad.madrid/es/informacion-util/simulacion-metodo-dhondt</v>
      </c>
      <c r="D31" s="99" t="s">
        <v>184</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Ley D'Hondt</v>
      </c>
      <c r="C32" s="85" t="str" cm="1">
        <f t="array" ref="C32">IFERROR(INDEX('03.Muestra'!$F$8:$F$42,SMALL(IF("Página Web"='03.Muestra'!$D$8:$D$42,ROW('03.Muestra'!$F$8:$F$42)-MIN(ROW('03.Muestra'!$D$8:$D$42))+1,""),ROW()-18)),"")</f>
        <v>https://elecciones.comunidad.madrid/es/resultados/ley_d_hondt</v>
      </c>
      <c r="D32" s="99" t="s">
        <v>184</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Voto por correo elector CERA en España</v>
      </c>
      <c r="C33" s="85" t="str" cm="1">
        <f t="array" ref="C33">IFERROR(INDEX('03.Muestra'!$F$8:$F$42,SMALL(IF("Página Web"='03.Muestra'!$D$8:$D$42,ROW('03.Muestra'!$F$8:$F$42)-MIN(ROW('03.Muestra'!$D$8:$D$42))+1,""),ROW()-18)),"")</f>
        <v>https://elecciones.comunidad.madrid/es/preguntas-frecuentes/voto-correo-electores-residentes-extranjero</v>
      </c>
      <c r="D33" s="99" t="s">
        <v>184</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Contacto</v>
      </c>
      <c r="C34" s="85" t="str" cm="1">
        <f t="array" ref="C34">IFERROR(INDEX('03.Muestra'!$F$8:$F$42,SMALL(IF("Página Web"='03.Muestra'!$D$8:$D$42,ROW('03.Muestra'!$F$8:$F$42)-MIN(ROW('03.Muestra'!$D$8:$D$42))+1,""),ROW()-18)),"")</f>
        <v>https://elecciones.comunidad.madrid/es/buzon-de-sugerencias</v>
      </c>
      <c r="D34" s="99" t="s">
        <v>184</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Buscador</v>
      </c>
      <c r="C35" s="85" t="str" cm="1">
        <f t="array" ref="C35">IFERROR(INDEX('03.Muestra'!$F$8:$F$42,SMALL(IF("Página Web"='03.Muestra'!$D$8:$D$42,ROW('03.Muestra'!$F$8:$F$42)-MIN(ROW('03.Muestra'!$D$8:$D$42))+1,""),ROW()-18)),"")</f>
        <v>https://elecciones.comunidad.madrid/es/search?search_api_fulltext=partido</v>
      </c>
      <c r="D35" s="99" t="s">
        <v>184</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Legal-Privacidad</v>
      </c>
      <c r="C36" s="85" t="str" cm="1">
        <f t="array" ref="C36">IFERROR(INDEX('03.Muestra'!$F$8:$F$42,SMALL(IF("Página Web"='03.Muestra'!$D$8:$D$42,ROW('03.Muestra'!$F$8:$F$42)-MIN(ROW('03.Muestra'!$D$8:$D$42))+1,""),ROW()-18)),"")</f>
        <v>https://elecciones.comunidad.madrid/es/aviso-legal</v>
      </c>
      <c r="D36" s="99" t="s">
        <v>184</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https://elecciones.comunidad.madrid/es/sitemap</v>
      </c>
      <c r="D37" s="99" t="s">
        <v>184</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Declaracion Accesibilidad</v>
      </c>
      <c r="C38" s="85" t="str" cm="1">
        <f t="array" ref="C38">IFERROR(INDEX('03.Muestra'!$F$8:$F$42,SMALL(IF("Página Web"='03.Muestra'!$D$8:$D$42,ROW('03.Muestra'!$F$8:$F$42)-MIN(ROW('03.Muestra'!$D$8:$D$42))+1,""),ROW()-18)),"")</f>
        <v>https://elecciones.comunidad.madrid/es/accesibilidad</v>
      </c>
      <c r="D38" s="99" t="s">
        <v>176</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181</v>
      </c>
      <c r="B56" s="23" t="s">
        <v>173</v>
      </c>
      <c r="C56" s="24" t="s">
        <v>330</v>
      </c>
      <c r="D56" s="25" t="s">
        <v>183</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https://elecciones.comunidad.madrid/es</v>
      </c>
      <c r="D57" s="99" t="s">
        <v>184</v>
      </c>
      <c r="E57" s="79" t="str">
        <f t="shared" ref="E57:E91" si="2">IF(D57&lt;&gt;"",IF(AND(B57&lt;&gt;"",C57&lt;&gt;""),"","ERR"),"")</f>
        <v/>
      </c>
      <c r="F57" s="86" t="s">
        <v>185</v>
      </c>
      <c r="G57" s="87" t="s">
        <v>186</v>
      </c>
      <c r="H57" s="88" t="s">
        <v>184</v>
      </c>
      <c r="I57" s="89" t="s">
        <v>176</v>
      </c>
      <c r="J57" s="90" t="s">
        <v>174</v>
      </c>
      <c r="K57" s="179" t="s">
        <v>180</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Resultado Elecciones 28M 2023</v>
      </c>
      <c r="C58" s="85" t="str" cm="1">
        <f t="array" ref="C58">IFERROR(INDEX('03.Muestra'!$F$8:$F$42,SMALL(IF("Página Web"='03.Muestra'!$D$8:$D$42,ROW('03.Muestra'!$F$8:$F$42)-MIN(ROW('03.Muestra'!$D$8:$D$42))+1,""),ROW()-56)),"")</f>
        <v>https://elecciones.comunidad.madrid/es/resultados-elecciones-asamblea-madrid-28m-2023</v>
      </c>
      <c r="D58" s="99" t="s">
        <v>184</v>
      </c>
      <c r="E58" s="79" t="str">
        <f t="shared" si="2"/>
        <v/>
      </c>
      <c r="F58" s="91">
        <f ca="1">COUNTIF($D57:INDIRECT("$D" &amp;  SUM(ROW()-1,'03.Muestra'!$D$45)-1),F57)</f>
        <v>0</v>
      </c>
      <c r="G58" s="91">
        <f ca="1">COUNTIF($D57:INDIRECT("$D" &amp;  SUM(ROW()-1,'03.Muestra'!$D$45)-1),G57)</f>
        <v>0</v>
      </c>
      <c r="H58" s="91">
        <f ca="1">COUNTIF($D57:INDIRECT("$D" &amp;  SUM(ROW()-1,'03.Muestra'!$D$45)-1),H57)</f>
        <v>19</v>
      </c>
      <c r="I58" s="91">
        <f ca="1">COUNTIF($D57:INDIRECT("$D" &amp;  SUM(ROW()-1,'03.Muestra'!$D$45)-1),I57)</f>
        <v>1</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Normativa electoral</v>
      </c>
      <c r="C59" s="85" t="str" cm="1">
        <f t="array" ref="C59">IFERROR(INDEX('03.Muestra'!$F$8:$F$42,SMALL(IF("Página Web"='03.Muestra'!$D$8:$D$42,ROW('03.Muestra'!$F$8:$F$42)-MIN(ROW('03.Muestra'!$D$8:$D$42))+1,""),ROW()-56)),"")</f>
        <v>https://elecciones.comunidad.madrid/es/informacion-electoral/normativa-electoral</v>
      </c>
      <c r="D59" s="99" t="s">
        <v>184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Calendario electoral</v>
      </c>
      <c r="C60" s="85" t="str" cm="1">
        <f t="array" ref="C60">IFERROR(INDEX('03.Muestra'!$F$8:$F$42,SMALL(IF("Página Web"='03.Muestra'!$D$8:$D$42,ROW('03.Muestra'!$F$8:$F$42)-MIN(ROW('03.Muestra'!$D$8:$D$42))+1,""),ROW()-56)),"")</f>
        <v>https://elecciones.comunidad.madrid/es/informacion-electoral/calendario-electoral</v>
      </c>
      <c r="D60" s="99" t="s">
        <v>184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Direcciones y teléfonos</v>
      </c>
      <c r="C61" s="85" t="str" cm="1">
        <f t="array" ref="C61">IFERROR(INDEX('03.Muestra'!$F$8:$F$42,SMALL(IF("Página Web"='03.Muestra'!$D$8:$D$42,ROW('03.Muestra'!$F$8:$F$42)-MIN(ROW('03.Muestra'!$D$8:$D$42))+1,""),ROW()-56)),"")</f>
        <v>https://elecciones.comunidad.madrid/es/juntas-electorales/direcciones-telefonos</v>
      </c>
      <c r="D61" s="99" t="s">
        <v>184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Impresos electrónicos</v>
      </c>
      <c r="C62" s="85" t="str" cm="1">
        <f t="array" ref="C62">IFERROR(INDEX('03.Muestra'!$F$8:$F$42,SMALL(IF("Página Web"='03.Muestra'!$D$8:$D$42,ROW('03.Muestra'!$F$8:$F$42)-MIN(ROW('03.Muestra'!$D$8:$D$42))+1,""),ROW()-56)),"")</f>
        <v>https://elecciones.comunidad.madrid/es/formaciones-politicas/impresos-electronicos</v>
      </c>
      <c r="D62" s="99" t="s">
        <v>184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Listado de candidaturas</v>
      </c>
      <c r="C63" s="85" t="str" cm="1">
        <f t="array" ref="C63">IFERROR(INDEX('03.Muestra'!$F$8:$F$42,SMALL(IF("Página Web"='03.Muestra'!$D$8:$D$42,ROW('03.Muestra'!$F$8:$F$42)-MIN(ROW('03.Muestra'!$D$8:$D$42))+1,""),ROW()-56)),"")</f>
        <v>https://elecciones.comunidad.madrid/es/formaciones-politicas/listado-candidaturas-proclamadas</v>
      </c>
      <c r="D63" s="99" t="s">
        <v>184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Partido Feminista de España</v>
      </c>
      <c r="C64" s="85" t="str" cm="1">
        <f t="array" ref="C64">IFERROR(INDEX('03.Muestra'!$F$8:$F$42,SMALL(IF("Página Web"='03.Muestra'!$D$8:$D$42,ROW('03.Muestra'!$F$8:$F$42)-MIN(ROW('03.Muestra'!$D$8:$D$42))+1,""),ROW()-56)),"")</f>
        <v>https://elecciones.comunidad.madrid/es/formaciones-politicas/listado-candidaturas/partido-feminista-espana</v>
      </c>
      <c r="D64" s="99" t="s">
        <v>184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¿Dónde voto?</v>
      </c>
      <c r="C65" s="85" t="str" cm="1">
        <f t="array" ref="C65">IFERROR(INDEX('03.Muestra'!$F$8:$F$42,SMALL(IF("Página Web"='03.Muestra'!$D$8:$D$42,ROW('03.Muestra'!$F$8:$F$42)-MIN(ROW('03.Muestra'!$D$8:$D$42))+1,""),ROW()-56)),"")</f>
        <v>https://elecciones.comunidad.madrid/es/votar/donde-voto</v>
      </c>
      <c r="D65" s="99" t="s">
        <v>184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Voto presencial</v>
      </c>
      <c r="C66" s="85" t="str" cm="1">
        <f t="array" ref="C66">IFERROR(INDEX('03.Muestra'!$F$8:$F$42,SMALL(IF("Página Web"='03.Muestra'!$D$8:$D$42,ROW('03.Muestra'!$F$8:$F$42)-MIN(ROW('03.Muestra'!$D$8:$D$42))+1,""),ROW()-56)),"")</f>
        <v>https://elecciones.comunidad.madrid/es/voto-local-electoral/voto-presencial</v>
      </c>
      <c r="D66" s="99" t="s">
        <v>184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Ciudadanos temporalmente en el extranjero</v>
      </c>
      <c r="C67" s="85" t="str" cm="1">
        <f t="array" ref="C67">IFERROR(INDEX('03.Muestra'!$F$8:$F$42,SMALL(IF("Página Web"='03.Muestra'!$D$8:$D$42,ROW('03.Muestra'!$F$8:$F$42)-MIN(ROW('03.Muestra'!$D$8:$D$42))+1,""),ROW()-56)),"")</f>
        <v>https://elecciones.comunidad.madrid/es/voto-correo/solicitud-voto-temporalmente-ausentes</v>
      </c>
      <c r="D67" s="99" t="s">
        <v>184</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Nuevo votante</v>
      </c>
      <c r="C68" s="85" t="str" cm="1">
        <f t="array" ref="C68">IFERROR(INDEX('03.Muestra'!$F$8:$F$42,SMALL(IF("Página Web"='03.Muestra'!$D$8:$D$42,ROW('03.Muestra'!$F$8:$F$42)-MIN(ROW('03.Muestra'!$D$8:$D$42))+1,""),ROW()-56)),"")</f>
        <v>https://elecciones.comunidad.madrid/es/votar/nuevo-votante</v>
      </c>
      <c r="D68" s="99" t="s">
        <v>184</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Simulación método D'Hondt</v>
      </c>
      <c r="C69" s="85" t="str" cm="1">
        <f t="array" ref="C69">IFERROR(INDEX('03.Muestra'!$F$8:$F$42,SMALL(IF("Página Web"='03.Muestra'!$D$8:$D$42,ROW('03.Muestra'!$F$8:$F$42)-MIN(ROW('03.Muestra'!$D$8:$D$42))+1,""),ROW()-56)),"")</f>
        <v>https://elecciones.comunidad.madrid/es/informacion-util/simulacion-metodo-dhondt</v>
      </c>
      <c r="D69" s="99" t="s">
        <v>184</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Ley D'Hondt</v>
      </c>
      <c r="C70" s="85" t="str" cm="1">
        <f t="array" ref="C70">IFERROR(INDEX('03.Muestra'!$F$8:$F$42,SMALL(IF("Página Web"='03.Muestra'!$D$8:$D$42,ROW('03.Muestra'!$F$8:$F$42)-MIN(ROW('03.Muestra'!$D$8:$D$42))+1,""),ROW()-56)),"")</f>
        <v>https://elecciones.comunidad.madrid/es/resultados/ley_d_hondt</v>
      </c>
      <c r="D70" s="99" t="s">
        <v>184</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Voto por correo elector CERA en España</v>
      </c>
      <c r="C71" s="85" t="str" cm="1">
        <f t="array" ref="C71">IFERROR(INDEX('03.Muestra'!$F$8:$F$42,SMALL(IF("Página Web"='03.Muestra'!$D$8:$D$42,ROW('03.Muestra'!$F$8:$F$42)-MIN(ROW('03.Muestra'!$D$8:$D$42))+1,""),ROW()-56)),"")</f>
        <v>https://elecciones.comunidad.madrid/es/preguntas-frecuentes/voto-correo-electores-residentes-extranjero</v>
      </c>
      <c r="D71" s="99" t="s">
        <v>184</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Contacto</v>
      </c>
      <c r="C72" s="85" t="str" cm="1">
        <f t="array" ref="C72">IFERROR(INDEX('03.Muestra'!$F$8:$F$42,SMALL(IF("Página Web"='03.Muestra'!$D$8:$D$42,ROW('03.Muestra'!$F$8:$F$42)-MIN(ROW('03.Muestra'!$D$8:$D$42))+1,""),ROW()-56)),"")</f>
        <v>https://elecciones.comunidad.madrid/es/buzon-de-sugerencias</v>
      </c>
      <c r="D72" s="99" t="s">
        <v>184</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Buscador</v>
      </c>
      <c r="C73" s="85" t="str" cm="1">
        <f t="array" ref="C73">IFERROR(INDEX('03.Muestra'!$F$8:$F$42,SMALL(IF("Página Web"='03.Muestra'!$D$8:$D$42,ROW('03.Muestra'!$F$8:$F$42)-MIN(ROW('03.Muestra'!$D$8:$D$42))+1,""),ROW()-56)),"")</f>
        <v>https://elecciones.comunidad.madrid/es/search?search_api_fulltext=partido</v>
      </c>
      <c r="D73" s="99" t="s">
        <v>184</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Legal-Privacidad</v>
      </c>
      <c r="C74" s="85" t="str" cm="1">
        <f t="array" ref="C74">IFERROR(INDEX('03.Muestra'!$F$8:$F$42,SMALL(IF("Página Web"='03.Muestra'!$D$8:$D$42,ROW('03.Muestra'!$F$8:$F$42)-MIN(ROW('03.Muestra'!$D$8:$D$42))+1,""),ROW()-56)),"")</f>
        <v>https://elecciones.comunidad.madrid/es/aviso-legal</v>
      </c>
      <c r="D74" s="99" t="s">
        <v>184</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https://elecciones.comunidad.madrid/es/sitemap</v>
      </c>
      <c r="D75" s="99" t="s">
        <v>184</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Declaracion Accesibilidad</v>
      </c>
      <c r="C76" s="85" t="str" cm="1">
        <f t="array" ref="C76">IFERROR(INDEX('03.Muestra'!$F$8:$F$42,SMALL(IF("Página Web"='03.Muestra'!$D$8:$D$42,ROW('03.Muestra'!$F$8:$F$42)-MIN(ROW('03.Muestra'!$D$8:$D$42))+1,""),ROW()-56)),"")</f>
        <v>https://elecciones.comunidad.madrid/es/accesibilidad</v>
      </c>
      <c r="D76" s="99" t="s">
        <v>176</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181</v>
      </c>
      <c r="B94" s="23" t="s">
        <v>173</v>
      </c>
      <c r="C94" s="24" t="s">
        <v>331</v>
      </c>
      <c r="D94" s="25" t="s">
        <v>183</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https://elecciones.comunidad.madrid/es</v>
      </c>
      <c r="D95" s="99" t="s">
        <v>184</v>
      </c>
      <c r="E95" s="79" t="str">
        <f t="shared" ref="E95:E129" si="4">IF(D95&lt;&gt;"",IF(AND(B95&lt;&gt;"",C95&lt;&gt;""),"","ERR"),"")</f>
        <v/>
      </c>
      <c r="F95" s="86" t="s">
        <v>185</v>
      </c>
      <c r="G95" s="87" t="s">
        <v>186</v>
      </c>
      <c r="H95" s="88" t="s">
        <v>184</v>
      </c>
      <c r="I95" s="89" t="s">
        <v>176</v>
      </c>
      <c r="J95" s="90" t="s">
        <v>174</v>
      </c>
      <c r="K95" s="179" t="s">
        <v>180</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Resultado Elecciones 28M 2023</v>
      </c>
      <c r="C96" s="85" t="str" cm="1">
        <f t="array" ref="C96">IFERROR(INDEX('03.Muestra'!$F$8:$F$42,SMALL(IF("Página Web"='03.Muestra'!$D$8:$D$42,ROW('03.Muestra'!$F$8:$F$42)-MIN(ROW('03.Muestra'!$D$8:$D$42))+1,""),ROW()-94)),"")</f>
        <v>https://elecciones.comunidad.madrid/es/resultados-elecciones-asamblea-madrid-28m-2023</v>
      </c>
      <c r="D96" s="99" t="s">
        <v>184</v>
      </c>
      <c r="E96" s="79" t="str">
        <f t="shared" si="4"/>
        <v/>
      </c>
      <c r="F96" s="91">
        <f ca="1">COUNTIF($D95:INDIRECT("$D" &amp;  SUM(ROW()-1,'03.Muestra'!$D$45)-1),F95)</f>
        <v>0</v>
      </c>
      <c r="G96" s="91">
        <f ca="1">COUNTIF($D95:INDIRECT("$D" &amp;  SUM(ROW()-1,'03.Muestra'!$D$45)-1),G95)</f>
        <v>0</v>
      </c>
      <c r="H96" s="91">
        <f ca="1">COUNTIF($D95:INDIRECT("$D" &amp;  SUM(ROW()-1,'03.Muestra'!$D$45)-1),H95)</f>
        <v>19</v>
      </c>
      <c r="I96" s="91">
        <f ca="1">COUNTIF($D95:INDIRECT("$D" &amp;  SUM(ROW()-1,'03.Muestra'!$D$45)-1),I95)</f>
        <v>1</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Normativa electoral</v>
      </c>
      <c r="C97" s="85" t="str" cm="1">
        <f t="array" ref="C97">IFERROR(INDEX('03.Muestra'!$F$8:$F$42,SMALL(IF("Página Web"='03.Muestra'!$D$8:$D$42,ROW('03.Muestra'!$F$8:$F$42)-MIN(ROW('03.Muestra'!$D$8:$D$42))+1,""),ROW()-94)),"")</f>
        <v>https://elecciones.comunidad.madrid/es/informacion-electoral/normativa-electoral</v>
      </c>
      <c r="D97" s="99" t="s">
        <v>184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Calendario electoral</v>
      </c>
      <c r="C98" s="85" t="str" cm="1">
        <f t="array" ref="C98">IFERROR(INDEX('03.Muestra'!$F$8:$F$42,SMALL(IF("Página Web"='03.Muestra'!$D$8:$D$42,ROW('03.Muestra'!$F$8:$F$42)-MIN(ROW('03.Muestra'!$D$8:$D$42))+1,""),ROW()-94)),"")</f>
        <v>https://elecciones.comunidad.madrid/es/informacion-electoral/calendario-electoral</v>
      </c>
      <c r="D98" s="99" t="s">
        <v>184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Direcciones y teléfonos</v>
      </c>
      <c r="C99" s="85" t="str" cm="1">
        <f t="array" ref="C99">IFERROR(INDEX('03.Muestra'!$F$8:$F$42,SMALL(IF("Página Web"='03.Muestra'!$D$8:$D$42,ROW('03.Muestra'!$F$8:$F$42)-MIN(ROW('03.Muestra'!$D$8:$D$42))+1,""),ROW()-94)),"")</f>
        <v>https://elecciones.comunidad.madrid/es/juntas-electorales/direcciones-telefonos</v>
      </c>
      <c r="D99" s="99" t="s">
        <v>184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Impresos electrónicos</v>
      </c>
      <c r="C100" s="85" t="str" cm="1">
        <f t="array" ref="C100">IFERROR(INDEX('03.Muestra'!$F$8:$F$42,SMALL(IF("Página Web"='03.Muestra'!$D$8:$D$42,ROW('03.Muestra'!$F$8:$F$42)-MIN(ROW('03.Muestra'!$D$8:$D$42))+1,""),ROW()-94)),"")</f>
        <v>https://elecciones.comunidad.madrid/es/formaciones-politicas/impresos-electronicos</v>
      </c>
      <c r="D100" s="99" t="s">
        <v>184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Listado de candidaturas</v>
      </c>
      <c r="C101" s="85" t="str" cm="1">
        <f t="array" ref="C101">IFERROR(INDEX('03.Muestra'!$F$8:$F$42,SMALL(IF("Página Web"='03.Muestra'!$D$8:$D$42,ROW('03.Muestra'!$F$8:$F$42)-MIN(ROW('03.Muestra'!$D$8:$D$42))+1,""),ROW()-94)),"")</f>
        <v>https://elecciones.comunidad.madrid/es/formaciones-politicas/listado-candidaturas-proclamadas</v>
      </c>
      <c r="D101" s="99" t="s">
        <v>184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Partido Feminista de España</v>
      </c>
      <c r="C102" s="85" t="str" cm="1">
        <f t="array" ref="C102">IFERROR(INDEX('03.Muestra'!$F$8:$F$42,SMALL(IF("Página Web"='03.Muestra'!$D$8:$D$42,ROW('03.Muestra'!$F$8:$F$42)-MIN(ROW('03.Muestra'!$D$8:$D$42))+1,""),ROW()-94)),"")</f>
        <v>https://elecciones.comunidad.madrid/es/formaciones-politicas/listado-candidaturas/partido-feminista-espana</v>
      </c>
      <c r="D102" s="99" t="s">
        <v>184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¿Dónde voto?</v>
      </c>
      <c r="C103" s="85" t="str" cm="1">
        <f t="array" ref="C103">IFERROR(INDEX('03.Muestra'!$F$8:$F$42,SMALL(IF("Página Web"='03.Muestra'!$D$8:$D$42,ROW('03.Muestra'!$F$8:$F$42)-MIN(ROW('03.Muestra'!$D$8:$D$42))+1,""),ROW()-94)),"")</f>
        <v>https://elecciones.comunidad.madrid/es/votar/donde-voto</v>
      </c>
      <c r="D103" s="99" t="s">
        <v>184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Voto presencial</v>
      </c>
      <c r="C104" s="85" t="str" cm="1">
        <f t="array" ref="C104">IFERROR(INDEX('03.Muestra'!$F$8:$F$42,SMALL(IF("Página Web"='03.Muestra'!$D$8:$D$42,ROW('03.Muestra'!$F$8:$F$42)-MIN(ROW('03.Muestra'!$D$8:$D$42))+1,""),ROW()-94)),"")</f>
        <v>https://elecciones.comunidad.madrid/es/voto-local-electoral/voto-presencial</v>
      </c>
      <c r="D104" s="99" t="s">
        <v>184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Ciudadanos temporalmente en el extranjero</v>
      </c>
      <c r="C105" s="85" t="str" cm="1">
        <f t="array" ref="C105">IFERROR(INDEX('03.Muestra'!$F$8:$F$42,SMALL(IF("Página Web"='03.Muestra'!$D$8:$D$42,ROW('03.Muestra'!$F$8:$F$42)-MIN(ROW('03.Muestra'!$D$8:$D$42))+1,""),ROW()-94)),"")</f>
        <v>https://elecciones.comunidad.madrid/es/voto-correo/solicitud-voto-temporalmente-ausentes</v>
      </c>
      <c r="D105" s="99" t="s">
        <v>184</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Nuevo votante</v>
      </c>
      <c r="C106" s="85" t="str" cm="1">
        <f t="array" ref="C106">IFERROR(INDEX('03.Muestra'!$F$8:$F$42,SMALL(IF("Página Web"='03.Muestra'!$D$8:$D$42,ROW('03.Muestra'!$F$8:$F$42)-MIN(ROW('03.Muestra'!$D$8:$D$42))+1,""),ROW()-94)),"")</f>
        <v>https://elecciones.comunidad.madrid/es/votar/nuevo-votante</v>
      </c>
      <c r="D106" s="99" t="s">
        <v>184</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Simulación método D'Hondt</v>
      </c>
      <c r="C107" s="85" t="str" cm="1">
        <f t="array" ref="C107">IFERROR(INDEX('03.Muestra'!$F$8:$F$42,SMALL(IF("Página Web"='03.Muestra'!$D$8:$D$42,ROW('03.Muestra'!$F$8:$F$42)-MIN(ROW('03.Muestra'!$D$8:$D$42))+1,""),ROW()-94)),"")</f>
        <v>https://elecciones.comunidad.madrid/es/informacion-util/simulacion-metodo-dhondt</v>
      </c>
      <c r="D107" s="99" t="s">
        <v>184</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Ley D'Hondt</v>
      </c>
      <c r="C108" s="85" t="str" cm="1">
        <f t="array" ref="C108">IFERROR(INDEX('03.Muestra'!$F$8:$F$42,SMALL(IF("Página Web"='03.Muestra'!$D$8:$D$42,ROW('03.Muestra'!$F$8:$F$42)-MIN(ROW('03.Muestra'!$D$8:$D$42))+1,""),ROW()-94)),"")</f>
        <v>https://elecciones.comunidad.madrid/es/resultados/ley_d_hondt</v>
      </c>
      <c r="D108" s="99" t="s">
        <v>184</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Voto por correo elector CERA en España</v>
      </c>
      <c r="C109" s="85" t="str" cm="1">
        <f t="array" ref="C109">IFERROR(INDEX('03.Muestra'!$F$8:$F$42,SMALL(IF("Página Web"='03.Muestra'!$D$8:$D$42,ROW('03.Muestra'!$F$8:$F$42)-MIN(ROW('03.Muestra'!$D$8:$D$42))+1,""),ROW()-94)),"")</f>
        <v>https://elecciones.comunidad.madrid/es/preguntas-frecuentes/voto-correo-electores-residentes-extranjero</v>
      </c>
      <c r="D109" s="99" t="s">
        <v>184</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Contacto</v>
      </c>
      <c r="C110" s="85" t="str" cm="1">
        <f t="array" ref="C110">IFERROR(INDEX('03.Muestra'!$F$8:$F$42,SMALL(IF("Página Web"='03.Muestra'!$D$8:$D$42,ROW('03.Muestra'!$F$8:$F$42)-MIN(ROW('03.Muestra'!$D$8:$D$42))+1,""),ROW()-94)),"")</f>
        <v>https://elecciones.comunidad.madrid/es/buzon-de-sugerencias</v>
      </c>
      <c r="D110" s="99" t="s">
        <v>184</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Buscador</v>
      </c>
      <c r="C111" s="85" t="str" cm="1">
        <f t="array" ref="C111">IFERROR(INDEX('03.Muestra'!$F$8:$F$42,SMALL(IF("Página Web"='03.Muestra'!$D$8:$D$42,ROW('03.Muestra'!$F$8:$F$42)-MIN(ROW('03.Muestra'!$D$8:$D$42))+1,""),ROW()-94)),"")</f>
        <v>https://elecciones.comunidad.madrid/es/search?search_api_fulltext=partido</v>
      </c>
      <c r="D111" s="99" t="s">
        <v>184</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Legal-Privacidad</v>
      </c>
      <c r="C112" s="85" t="str" cm="1">
        <f t="array" ref="C112">IFERROR(INDEX('03.Muestra'!$F$8:$F$42,SMALL(IF("Página Web"='03.Muestra'!$D$8:$D$42,ROW('03.Muestra'!$F$8:$F$42)-MIN(ROW('03.Muestra'!$D$8:$D$42))+1,""),ROW()-94)),"")</f>
        <v>https://elecciones.comunidad.madrid/es/aviso-legal</v>
      </c>
      <c r="D112" s="99" t="s">
        <v>184</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https://elecciones.comunidad.madrid/es/sitemap</v>
      </c>
      <c r="D113" s="99" t="s">
        <v>184</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Declaracion Accesibilidad</v>
      </c>
      <c r="C114" s="85" t="str" cm="1">
        <f t="array" ref="C114">IFERROR(INDEX('03.Muestra'!$F$8:$F$42,SMALL(IF("Página Web"='03.Muestra'!$D$8:$D$42,ROW('03.Muestra'!$F$8:$F$42)-MIN(ROW('03.Muestra'!$D$8:$D$42))+1,""),ROW()-94)),"")</f>
        <v>https://elecciones.comunidad.madrid/es/accesibilidad</v>
      </c>
      <c r="D114" s="99" t="s">
        <v>176</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181</v>
      </c>
      <c r="B132" s="23" t="s">
        <v>173</v>
      </c>
      <c r="C132" s="24" t="s">
        <v>332</v>
      </c>
      <c r="D132" s="25" t="s">
        <v>183</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https://elecciones.comunidad.madrid/es</v>
      </c>
      <c r="D133" s="99" t="s">
        <v>184</v>
      </c>
      <c r="E133" s="79" t="str">
        <f t="shared" ref="E133:E167" si="6">IF(D133&lt;&gt;"",IF(AND(B133&lt;&gt;"",C133&lt;&gt;""),"","ERR"),"")</f>
        <v/>
      </c>
      <c r="F133" s="86" t="s">
        <v>185</v>
      </c>
      <c r="G133" s="87" t="s">
        <v>186</v>
      </c>
      <c r="H133" s="88" t="s">
        <v>184</v>
      </c>
      <c r="I133" s="89" t="s">
        <v>176</v>
      </c>
      <c r="J133" s="90" t="s">
        <v>174</v>
      </c>
      <c r="K133" s="179" t="s">
        <v>180</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Resultado Elecciones 28M 2023</v>
      </c>
      <c r="C134" s="85" t="str" cm="1">
        <f t="array" ref="C134">IFERROR(INDEX('03.Muestra'!$F$8:$F$42,SMALL(IF("Página Web"='03.Muestra'!$D$8:$D$42,ROW('03.Muestra'!$F$8:$F$42)-MIN(ROW('03.Muestra'!$D$8:$D$42))+1,""),ROW()-132)),"")</f>
        <v>https://elecciones.comunidad.madrid/es/resultados-elecciones-asamblea-madrid-28m-2023</v>
      </c>
      <c r="D134" s="99" t="s">
        <v>184</v>
      </c>
      <c r="E134" s="79" t="str">
        <f t="shared" si="6"/>
        <v/>
      </c>
      <c r="F134" s="91">
        <f ca="1">COUNTIF($D133:INDIRECT("$D" &amp;  SUM(ROW()-1,'03.Muestra'!$D$45)-1),F133)</f>
        <v>0</v>
      </c>
      <c r="G134" s="91">
        <f ca="1">COUNTIF($D133:INDIRECT("$D" &amp;  SUM(ROW()-1,'03.Muestra'!$D$45)-1),G133)</f>
        <v>0</v>
      </c>
      <c r="H134" s="91">
        <f ca="1">COUNTIF($D133:INDIRECT("$D" &amp;  SUM(ROW()-1,'03.Muestra'!$D$45)-1),H133)</f>
        <v>19</v>
      </c>
      <c r="I134" s="91">
        <f ca="1">COUNTIF($D133:INDIRECT("$D" &amp;  SUM(ROW()-1,'03.Muestra'!$D$45)-1),I133)</f>
        <v>0</v>
      </c>
      <c r="J134" s="91">
        <f ca="1">COUNTIF($D133:INDIRECT("$D" &amp;  SUM(ROW()-1,'03.Muestra'!$D$45)-1),J133)</f>
        <v>1</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Normativa electoral</v>
      </c>
      <c r="C135" s="85" t="str" cm="1">
        <f t="array" ref="C135">IFERROR(INDEX('03.Muestra'!$F$8:$F$42,SMALL(IF("Página Web"='03.Muestra'!$D$8:$D$42,ROW('03.Muestra'!$F$8:$F$42)-MIN(ROW('03.Muestra'!$D$8:$D$42))+1,""),ROW()-132)),"")</f>
        <v>https://elecciones.comunidad.madrid/es/informacion-electoral/normativa-electoral</v>
      </c>
      <c r="D135" s="99" t="s">
        <v>184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Calendario electoral</v>
      </c>
      <c r="C136" s="85" t="str" cm="1">
        <f t="array" ref="C136">IFERROR(INDEX('03.Muestra'!$F$8:$F$42,SMALL(IF("Página Web"='03.Muestra'!$D$8:$D$42,ROW('03.Muestra'!$F$8:$F$42)-MIN(ROW('03.Muestra'!$D$8:$D$42))+1,""),ROW()-132)),"")</f>
        <v>https://elecciones.comunidad.madrid/es/informacion-electoral/calendario-electoral</v>
      </c>
      <c r="D136" s="99" t="s">
        <v>184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Direcciones y teléfonos</v>
      </c>
      <c r="C137" s="85" t="str" cm="1">
        <f t="array" ref="C137">IFERROR(INDEX('03.Muestra'!$F$8:$F$42,SMALL(IF("Página Web"='03.Muestra'!$D$8:$D$42,ROW('03.Muestra'!$F$8:$F$42)-MIN(ROW('03.Muestra'!$D$8:$D$42))+1,""),ROW()-132)),"")</f>
        <v>https://elecciones.comunidad.madrid/es/juntas-electorales/direcciones-telefonos</v>
      </c>
      <c r="D137" s="99" t="s">
        <v>184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Impresos electrónicos</v>
      </c>
      <c r="C138" s="85" t="str" cm="1">
        <f t="array" ref="C138">IFERROR(INDEX('03.Muestra'!$F$8:$F$42,SMALL(IF("Página Web"='03.Muestra'!$D$8:$D$42,ROW('03.Muestra'!$F$8:$F$42)-MIN(ROW('03.Muestra'!$D$8:$D$42))+1,""),ROW()-132)),"")</f>
        <v>https://elecciones.comunidad.madrid/es/formaciones-politicas/impresos-electronicos</v>
      </c>
      <c r="D138" s="99" t="s">
        <v>184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Listado de candidaturas</v>
      </c>
      <c r="C139" s="85" t="str" cm="1">
        <f t="array" ref="C139">IFERROR(INDEX('03.Muestra'!$F$8:$F$42,SMALL(IF("Página Web"='03.Muestra'!$D$8:$D$42,ROW('03.Muestra'!$F$8:$F$42)-MIN(ROW('03.Muestra'!$D$8:$D$42))+1,""),ROW()-132)),"")</f>
        <v>https://elecciones.comunidad.madrid/es/formaciones-politicas/listado-candidaturas-proclamadas</v>
      </c>
      <c r="D139" s="99" t="s">
        <v>184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Partido Feminista de España</v>
      </c>
      <c r="C140" s="85" t="str" cm="1">
        <f t="array" ref="C140">IFERROR(INDEX('03.Muestra'!$F$8:$F$42,SMALL(IF("Página Web"='03.Muestra'!$D$8:$D$42,ROW('03.Muestra'!$F$8:$F$42)-MIN(ROW('03.Muestra'!$D$8:$D$42))+1,""),ROW()-132)),"")</f>
        <v>https://elecciones.comunidad.madrid/es/formaciones-politicas/listado-candidaturas/partido-feminista-espana</v>
      </c>
      <c r="D140" s="99" t="s">
        <v>184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¿Dónde voto?</v>
      </c>
      <c r="C141" s="85" t="str" cm="1">
        <f t="array" ref="C141">IFERROR(INDEX('03.Muestra'!$F$8:$F$42,SMALL(IF("Página Web"='03.Muestra'!$D$8:$D$42,ROW('03.Muestra'!$F$8:$F$42)-MIN(ROW('03.Muestra'!$D$8:$D$42))+1,""),ROW()-132)),"")</f>
        <v>https://elecciones.comunidad.madrid/es/votar/donde-voto</v>
      </c>
      <c r="D141" s="99" t="s">
        <v>184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Voto presencial</v>
      </c>
      <c r="C142" s="85" t="str" cm="1">
        <f t="array" ref="C142">IFERROR(INDEX('03.Muestra'!$F$8:$F$42,SMALL(IF("Página Web"='03.Muestra'!$D$8:$D$42,ROW('03.Muestra'!$F$8:$F$42)-MIN(ROW('03.Muestra'!$D$8:$D$42))+1,""),ROW()-132)),"")</f>
        <v>https://elecciones.comunidad.madrid/es/voto-local-electoral/voto-presencial</v>
      </c>
      <c r="D142" s="99" t="s">
        <v>184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Ciudadanos temporalmente en el extranjero</v>
      </c>
      <c r="C143" s="85" t="str" cm="1">
        <f t="array" ref="C143">IFERROR(INDEX('03.Muestra'!$F$8:$F$42,SMALL(IF("Página Web"='03.Muestra'!$D$8:$D$42,ROW('03.Muestra'!$F$8:$F$42)-MIN(ROW('03.Muestra'!$D$8:$D$42))+1,""),ROW()-132)),"")</f>
        <v>https://elecciones.comunidad.madrid/es/voto-correo/solicitud-voto-temporalmente-ausentes</v>
      </c>
      <c r="D143" s="99" t="s">
        <v>184</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Nuevo votante</v>
      </c>
      <c r="C144" s="85" t="str" cm="1">
        <f t="array" ref="C144">IFERROR(INDEX('03.Muestra'!$F$8:$F$42,SMALL(IF("Página Web"='03.Muestra'!$D$8:$D$42,ROW('03.Muestra'!$F$8:$F$42)-MIN(ROW('03.Muestra'!$D$8:$D$42))+1,""),ROW()-132)),"")</f>
        <v>https://elecciones.comunidad.madrid/es/votar/nuevo-votante</v>
      </c>
      <c r="D144" s="99" t="s">
        <v>184</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Simulación método D'Hondt</v>
      </c>
      <c r="C145" s="85" t="str" cm="1">
        <f t="array" ref="C145">IFERROR(INDEX('03.Muestra'!$F$8:$F$42,SMALL(IF("Página Web"='03.Muestra'!$D$8:$D$42,ROW('03.Muestra'!$F$8:$F$42)-MIN(ROW('03.Muestra'!$D$8:$D$42))+1,""),ROW()-132)),"")</f>
        <v>https://elecciones.comunidad.madrid/es/informacion-util/simulacion-metodo-dhondt</v>
      </c>
      <c r="D145" s="99" t="s">
        <v>184</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Ley D'Hondt</v>
      </c>
      <c r="C146" s="85" t="str" cm="1">
        <f t="array" ref="C146">IFERROR(INDEX('03.Muestra'!$F$8:$F$42,SMALL(IF("Página Web"='03.Muestra'!$D$8:$D$42,ROW('03.Muestra'!$F$8:$F$42)-MIN(ROW('03.Muestra'!$D$8:$D$42))+1,""),ROW()-132)),"")</f>
        <v>https://elecciones.comunidad.madrid/es/resultados/ley_d_hondt</v>
      </c>
      <c r="D146" s="99" t="s">
        <v>184</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Voto por correo elector CERA en España</v>
      </c>
      <c r="C147" s="85" t="str" cm="1">
        <f t="array" ref="C147">IFERROR(INDEX('03.Muestra'!$F$8:$F$42,SMALL(IF("Página Web"='03.Muestra'!$D$8:$D$42,ROW('03.Muestra'!$F$8:$F$42)-MIN(ROW('03.Muestra'!$D$8:$D$42))+1,""),ROW()-132)),"")</f>
        <v>https://elecciones.comunidad.madrid/es/preguntas-frecuentes/voto-correo-electores-residentes-extranjero</v>
      </c>
      <c r="D147" s="99" t="s">
        <v>184</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Contacto</v>
      </c>
      <c r="C148" s="85" t="str" cm="1">
        <f t="array" ref="C148">IFERROR(INDEX('03.Muestra'!$F$8:$F$42,SMALL(IF("Página Web"='03.Muestra'!$D$8:$D$42,ROW('03.Muestra'!$F$8:$F$42)-MIN(ROW('03.Muestra'!$D$8:$D$42))+1,""),ROW()-132)),"")</f>
        <v>https://elecciones.comunidad.madrid/es/buzon-de-sugerencias</v>
      </c>
      <c r="D148" s="99" t="s">
        <v>184</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Buscador</v>
      </c>
      <c r="C149" s="85" t="str" cm="1">
        <f t="array" ref="C149">IFERROR(INDEX('03.Muestra'!$F$8:$F$42,SMALL(IF("Página Web"='03.Muestra'!$D$8:$D$42,ROW('03.Muestra'!$F$8:$F$42)-MIN(ROW('03.Muestra'!$D$8:$D$42))+1,""),ROW()-132)),"")</f>
        <v>https://elecciones.comunidad.madrid/es/search?search_api_fulltext=partido</v>
      </c>
      <c r="D149" s="99" t="s">
        <v>184</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Legal-Privacidad</v>
      </c>
      <c r="C150" s="85" t="str" cm="1">
        <f t="array" ref="C150">IFERROR(INDEX('03.Muestra'!$F$8:$F$42,SMALL(IF("Página Web"='03.Muestra'!$D$8:$D$42,ROW('03.Muestra'!$F$8:$F$42)-MIN(ROW('03.Muestra'!$D$8:$D$42))+1,""),ROW()-132)),"")</f>
        <v>https://elecciones.comunidad.madrid/es/aviso-legal</v>
      </c>
      <c r="D150" s="99" t="s">
        <v>184</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https://elecciones.comunidad.madrid/es/sitemap</v>
      </c>
      <c r="D151" s="99" t="s">
        <v>184</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Declaracion Accesibilidad</v>
      </c>
      <c r="C152" s="85" t="str" cm="1">
        <f t="array" ref="C152">IFERROR(INDEX('03.Muestra'!$F$8:$F$42,SMALL(IF("Página Web"='03.Muestra'!$D$8:$D$42,ROW('03.Muestra'!$F$8:$F$42)-MIN(ROW('03.Muestra'!$D$8:$D$42))+1,""),ROW()-132)),"")</f>
        <v>https://elecciones.comunidad.madrid/es/accesibilidad</v>
      </c>
      <c r="D152" s="99" t="s">
        <v>174</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181</v>
      </c>
      <c r="B170" s="23" t="s">
        <v>173</v>
      </c>
      <c r="C170" s="24" t="s">
        <v>333</v>
      </c>
      <c r="D170" s="25" t="s">
        <v>183</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https://elecciones.comunidad.madrid/es</v>
      </c>
      <c r="D171" s="99" t="s">
        <v>184</v>
      </c>
      <c r="E171" s="79" t="str">
        <f t="shared" ref="E171:E205" si="8">IF(D171&lt;&gt;"",IF(AND(B171&lt;&gt;"",C171&lt;&gt;""),"","ERR"),"")</f>
        <v/>
      </c>
      <c r="F171" s="86" t="s">
        <v>185</v>
      </c>
      <c r="G171" s="87" t="s">
        <v>186</v>
      </c>
      <c r="H171" s="88" t="s">
        <v>184</v>
      </c>
      <c r="I171" s="89" t="s">
        <v>176</v>
      </c>
      <c r="J171" s="90" t="s">
        <v>174</v>
      </c>
      <c r="K171" s="179" t="s">
        <v>180</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Resultado Elecciones 28M 2023</v>
      </c>
      <c r="C172" s="85" t="str" cm="1">
        <f t="array" ref="C172">IFERROR(INDEX('03.Muestra'!$F$8:$F$42,SMALL(IF("Página Web"='03.Muestra'!$D$8:$D$42,ROW('03.Muestra'!$F$8:$F$42)-MIN(ROW('03.Muestra'!$D$8:$D$42))+1,""),ROW()-170)),"")</f>
        <v>https://elecciones.comunidad.madrid/es/resultados-elecciones-asamblea-madrid-28m-2023</v>
      </c>
      <c r="D172" s="99" t="s">
        <v>184</v>
      </c>
      <c r="E172" s="79" t="str">
        <f t="shared" si="8"/>
        <v/>
      </c>
      <c r="F172" s="91">
        <f ca="1">COUNTIF($D171:INDIRECT("$D" &amp;  SUM(ROW()-1,'03.Muestra'!$D$45)-1),F171)</f>
        <v>0</v>
      </c>
      <c r="G172" s="91">
        <f ca="1">COUNTIF($D171:INDIRECT("$D" &amp;  SUM(ROW()-1,'03.Muestra'!$D$45)-1),G171)</f>
        <v>0</v>
      </c>
      <c r="H172" s="91">
        <f ca="1">COUNTIF($D171:INDIRECT("$D" &amp;  SUM(ROW()-1,'03.Muestra'!$D$45)-1),H171)</f>
        <v>19</v>
      </c>
      <c r="I172" s="91">
        <f ca="1">COUNTIF($D171:INDIRECT("$D" &amp;  SUM(ROW()-1,'03.Muestra'!$D$45)-1),I171)</f>
        <v>1</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Normativa electoral</v>
      </c>
      <c r="C173" s="85" t="str" cm="1">
        <f t="array" ref="C173">IFERROR(INDEX('03.Muestra'!$F$8:$F$42,SMALL(IF("Página Web"='03.Muestra'!$D$8:$D$42,ROW('03.Muestra'!$F$8:$F$42)-MIN(ROW('03.Muestra'!$D$8:$D$42))+1,""),ROW()-170)),"")</f>
        <v>https://elecciones.comunidad.madrid/es/informacion-electoral/normativa-electoral</v>
      </c>
      <c r="D173" s="99" t="s">
        <v>184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Calendario electoral</v>
      </c>
      <c r="C174" s="85" t="str" cm="1">
        <f t="array" ref="C174">IFERROR(INDEX('03.Muestra'!$F$8:$F$42,SMALL(IF("Página Web"='03.Muestra'!$D$8:$D$42,ROW('03.Muestra'!$F$8:$F$42)-MIN(ROW('03.Muestra'!$D$8:$D$42))+1,""),ROW()-170)),"")</f>
        <v>https://elecciones.comunidad.madrid/es/informacion-electoral/calendario-electoral</v>
      </c>
      <c r="D174" s="99" t="s">
        <v>184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Direcciones y teléfonos</v>
      </c>
      <c r="C175" s="85" t="str" cm="1">
        <f t="array" ref="C175">IFERROR(INDEX('03.Muestra'!$F$8:$F$42,SMALL(IF("Página Web"='03.Muestra'!$D$8:$D$42,ROW('03.Muestra'!$F$8:$F$42)-MIN(ROW('03.Muestra'!$D$8:$D$42))+1,""),ROW()-170)),"")</f>
        <v>https://elecciones.comunidad.madrid/es/juntas-electorales/direcciones-telefonos</v>
      </c>
      <c r="D175" s="99" t="s">
        <v>184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Impresos electrónicos</v>
      </c>
      <c r="C176" s="85" t="str" cm="1">
        <f t="array" ref="C176">IFERROR(INDEX('03.Muestra'!$F$8:$F$42,SMALL(IF("Página Web"='03.Muestra'!$D$8:$D$42,ROW('03.Muestra'!$F$8:$F$42)-MIN(ROW('03.Muestra'!$D$8:$D$42))+1,""),ROW()-170)),"")</f>
        <v>https://elecciones.comunidad.madrid/es/formaciones-politicas/impresos-electronicos</v>
      </c>
      <c r="D176" s="99" t="s">
        <v>184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Listado de candidaturas</v>
      </c>
      <c r="C177" s="85" t="str" cm="1">
        <f t="array" ref="C177">IFERROR(INDEX('03.Muestra'!$F$8:$F$42,SMALL(IF("Página Web"='03.Muestra'!$D$8:$D$42,ROW('03.Muestra'!$F$8:$F$42)-MIN(ROW('03.Muestra'!$D$8:$D$42))+1,""),ROW()-170)),"")</f>
        <v>https://elecciones.comunidad.madrid/es/formaciones-politicas/listado-candidaturas-proclamadas</v>
      </c>
      <c r="D177" s="99" t="s">
        <v>184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Partido Feminista de España</v>
      </c>
      <c r="C178" s="85" t="str" cm="1">
        <f t="array" ref="C178">IFERROR(INDEX('03.Muestra'!$F$8:$F$42,SMALL(IF("Página Web"='03.Muestra'!$D$8:$D$42,ROW('03.Muestra'!$F$8:$F$42)-MIN(ROW('03.Muestra'!$D$8:$D$42))+1,""),ROW()-170)),"")</f>
        <v>https://elecciones.comunidad.madrid/es/formaciones-politicas/listado-candidaturas/partido-feminista-espana</v>
      </c>
      <c r="D178" s="99" t="s">
        <v>184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¿Dónde voto?</v>
      </c>
      <c r="C179" s="85" t="str" cm="1">
        <f t="array" ref="C179">IFERROR(INDEX('03.Muestra'!$F$8:$F$42,SMALL(IF("Página Web"='03.Muestra'!$D$8:$D$42,ROW('03.Muestra'!$F$8:$F$42)-MIN(ROW('03.Muestra'!$D$8:$D$42))+1,""),ROW()-170)),"")</f>
        <v>https://elecciones.comunidad.madrid/es/votar/donde-voto</v>
      </c>
      <c r="D179" s="99" t="s">
        <v>184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Voto presencial</v>
      </c>
      <c r="C180" s="85" t="str" cm="1">
        <f t="array" ref="C180">IFERROR(INDEX('03.Muestra'!$F$8:$F$42,SMALL(IF("Página Web"='03.Muestra'!$D$8:$D$42,ROW('03.Muestra'!$F$8:$F$42)-MIN(ROW('03.Muestra'!$D$8:$D$42))+1,""),ROW()-170)),"")</f>
        <v>https://elecciones.comunidad.madrid/es/voto-local-electoral/voto-presencial</v>
      </c>
      <c r="D180" s="99" t="s">
        <v>184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Ciudadanos temporalmente en el extranjero</v>
      </c>
      <c r="C181" s="85" t="str" cm="1">
        <f t="array" ref="C181">IFERROR(INDEX('03.Muestra'!$F$8:$F$42,SMALL(IF("Página Web"='03.Muestra'!$D$8:$D$42,ROW('03.Muestra'!$F$8:$F$42)-MIN(ROW('03.Muestra'!$D$8:$D$42))+1,""),ROW()-170)),"")</f>
        <v>https://elecciones.comunidad.madrid/es/voto-correo/solicitud-voto-temporalmente-ausentes</v>
      </c>
      <c r="D181" s="99" t="s">
        <v>184</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Nuevo votante</v>
      </c>
      <c r="C182" s="85" t="str" cm="1">
        <f t="array" ref="C182">IFERROR(INDEX('03.Muestra'!$F$8:$F$42,SMALL(IF("Página Web"='03.Muestra'!$D$8:$D$42,ROW('03.Muestra'!$F$8:$F$42)-MIN(ROW('03.Muestra'!$D$8:$D$42))+1,""),ROW()-170)),"")</f>
        <v>https://elecciones.comunidad.madrid/es/votar/nuevo-votante</v>
      </c>
      <c r="D182" s="99" t="s">
        <v>184</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Simulación método D'Hondt</v>
      </c>
      <c r="C183" s="85" t="str" cm="1">
        <f t="array" ref="C183">IFERROR(INDEX('03.Muestra'!$F$8:$F$42,SMALL(IF("Página Web"='03.Muestra'!$D$8:$D$42,ROW('03.Muestra'!$F$8:$F$42)-MIN(ROW('03.Muestra'!$D$8:$D$42))+1,""),ROW()-170)),"")</f>
        <v>https://elecciones.comunidad.madrid/es/informacion-util/simulacion-metodo-dhondt</v>
      </c>
      <c r="D183" s="99" t="s">
        <v>184</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Ley D'Hondt</v>
      </c>
      <c r="C184" s="85" t="str" cm="1">
        <f t="array" ref="C184">IFERROR(INDEX('03.Muestra'!$F$8:$F$42,SMALL(IF("Página Web"='03.Muestra'!$D$8:$D$42,ROW('03.Muestra'!$F$8:$F$42)-MIN(ROW('03.Muestra'!$D$8:$D$42))+1,""),ROW()-170)),"")</f>
        <v>https://elecciones.comunidad.madrid/es/resultados/ley_d_hondt</v>
      </c>
      <c r="D184" s="99" t="s">
        <v>184</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Voto por correo elector CERA en España</v>
      </c>
      <c r="C185" s="85" t="str" cm="1">
        <f t="array" ref="C185">IFERROR(INDEX('03.Muestra'!$F$8:$F$42,SMALL(IF("Página Web"='03.Muestra'!$D$8:$D$42,ROW('03.Muestra'!$F$8:$F$42)-MIN(ROW('03.Muestra'!$D$8:$D$42))+1,""),ROW()-170)),"")</f>
        <v>https://elecciones.comunidad.madrid/es/preguntas-frecuentes/voto-correo-electores-residentes-extranjero</v>
      </c>
      <c r="D185" s="99" t="s">
        <v>184</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Contacto</v>
      </c>
      <c r="C186" s="85" t="str" cm="1">
        <f t="array" ref="C186">IFERROR(INDEX('03.Muestra'!$F$8:$F$42,SMALL(IF("Página Web"='03.Muestra'!$D$8:$D$42,ROW('03.Muestra'!$F$8:$F$42)-MIN(ROW('03.Muestra'!$D$8:$D$42))+1,""),ROW()-170)),"")</f>
        <v>https://elecciones.comunidad.madrid/es/buzon-de-sugerencias</v>
      </c>
      <c r="D186" s="99" t="s">
        <v>184</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Buscador</v>
      </c>
      <c r="C187" s="85" t="str" cm="1">
        <f t="array" ref="C187">IFERROR(INDEX('03.Muestra'!$F$8:$F$42,SMALL(IF("Página Web"='03.Muestra'!$D$8:$D$42,ROW('03.Muestra'!$F$8:$F$42)-MIN(ROW('03.Muestra'!$D$8:$D$42))+1,""),ROW()-170)),"")</f>
        <v>https://elecciones.comunidad.madrid/es/search?search_api_fulltext=partido</v>
      </c>
      <c r="D187" s="99" t="s">
        <v>184</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Legal-Privacidad</v>
      </c>
      <c r="C188" s="85" t="str" cm="1">
        <f t="array" ref="C188">IFERROR(INDEX('03.Muestra'!$F$8:$F$42,SMALL(IF("Página Web"='03.Muestra'!$D$8:$D$42,ROW('03.Muestra'!$F$8:$F$42)-MIN(ROW('03.Muestra'!$D$8:$D$42))+1,""),ROW()-170)),"")</f>
        <v>https://elecciones.comunidad.madrid/es/aviso-legal</v>
      </c>
      <c r="D188" s="99" t="s">
        <v>184</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https://elecciones.comunidad.madrid/es/sitemap</v>
      </c>
      <c r="D189" s="99" t="s">
        <v>184</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Declaracion Accesibilidad</v>
      </c>
      <c r="C190" s="85" t="str" cm="1">
        <f t="array" ref="C190">IFERROR(INDEX('03.Muestra'!$F$8:$F$42,SMALL(IF("Página Web"='03.Muestra'!$D$8:$D$42,ROW('03.Muestra'!$F$8:$F$42)-MIN(ROW('03.Muestra'!$D$8:$D$42))+1,""),ROW()-170)),"")</f>
        <v>https://elecciones.comunidad.madrid/es/accesibilidad</v>
      </c>
      <c r="D190" s="99" t="s">
        <v>176</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D19:D53 D57:D91 D95:D129 D133:D167 D171:D205 F19:J19 F57:J57 F95:J95 F133:J133 F171:J171">
    <cfRule type="expression" dxfId="30" priority="128" stopIfTrue="1">
      <formula>ISBLANK(D19)</formula>
    </cfRule>
  </conditionalFormatting>
  <conditionalFormatting sqref="D19:D500">
    <cfRule type="cellIs" dxfId="29" priority="13" stopIfTrue="1" operator="equal">
      <formula>"-"</formula>
    </cfRule>
  </conditionalFormatting>
  <conditionalFormatting sqref="E19:E53 E57:E91 E95:E129 E133:E167 E171:E205">
    <cfRule type="cellIs" dxfId="28" priority="134" stopIfTrue="1" operator="equal">
      <formula>"ERR"</formula>
    </cfRule>
  </conditionalFormatting>
  <conditionalFormatting sqref="F19:J19 D19:D53 F57:J57 D57:D91 F95:J95 D95:D129 F133:J133 D133:D167 F171:J171 D171:D205">
    <cfRule type="cellIs" dxfId="27" priority="129" stopIfTrue="1" operator="equal">
      <formula>"Pasa"</formula>
    </cfRule>
    <cfRule type="cellIs" dxfId="26" priority="130" stopIfTrue="1" operator="equal">
      <formula>"Falla"</formula>
    </cfRule>
    <cfRule type="cellIs" dxfId="25" priority="131" stopIfTrue="1" operator="equal">
      <formula>"N/A"</formula>
    </cfRule>
    <cfRule type="cellIs" dxfId="24" priority="132" stopIfTrue="1" operator="equal">
      <formula>"N/T"</formula>
    </cfRule>
    <cfRule type="cellIs" dxfId="23" priority="133" stopIfTrue="1" operator="equal">
      <formula>"N/D"</formula>
    </cfRule>
  </conditionalFormatting>
  <conditionalFormatting sqref="K23:K24">
    <cfRule type="expression" dxfId="22" priority="1" stopIfTrue="1">
      <formula>ISBLANK(K23)</formula>
    </cfRule>
    <cfRule type="cellIs" dxfId="21" priority="2" stopIfTrue="1" operator="equal">
      <formula>"Pasa"</formula>
    </cfRule>
    <cfRule type="cellIs" dxfId="20" priority="3" stopIfTrue="1" operator="equal">
      <formula>"Falla"</formula>
    </cfRule>
    <cfRule type="cellIs" dxfId="19" priority="4" stopIfTrue="1" operator="equal">
      <formula>"N/A"</formula>
    </cfRule>
    <cfRule type="cellIs" dxfId="18" priority="5" stopIfTrue="1" operator="equal">
      <formula>"N/T"</formula>
    </cfRule>
    <cfRule type="cellIs" dxfId="1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topLeftCell="A7" zoomScale="70" zoomScaleNormal="70" workbookViewId="0">
      <selection activeCell="N2" sqref="N2"/>
    </sheetView>
  </sheetViews>
  <sheetFormatPr baseColWidth="10" defaultColWidth="11.54296875" defaultRowHeight="12.5"/>
  <cols>
    <col min="1" max="1" width="3.08984375" style="14" customWidth="1"/>
    <col min="2" max="2" width="9.08984375" style="84" customWidth="1"/>
    <col min="3" max="3" width="18.54296875" style="27" customWidth="1"/>
    <col min="4" max="4" width="59.36328125" style="14" customWidth="1"/>
    <col min="5" max="29" width="16.453125" style="14" customWidth="1"/>
    <col min="30" max="106" width="19.54296875" style="14" customWidth="1"/>
    <col min="107" max="16384" width="11.5429687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15"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15"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15" customHeight="1">
      <c r="C5" s="7" t="s">
        <v>334</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25" customHeight="1" thickBot="1">
      <c r="B6" s="137"/>
      <c r="C6" s="48"/>
      <c r="D6" s="48"/>
      <c r="E6" s="48"/>
      <c r="F6" s="48"/>
      <c r="G6" s="48"/>
      <c r="H6" s="48"/>
      <c r="I6" s="48"/>
      <c r="J6" s="48"/>
      <c r="K6" s="233" t="s">
        <v>335</v>
      </c>
      <c r="L6" s="233"/>
      <c r="M6" s="233"/>
      <c r="N6" s="48"/>
      <c r="O6" s="233" t="s">
        <v>336</v>
      </c>
      <c r="P6" s="233"/>
      <c r="Q6" s="233"/>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25" customHeight="1">
      <c r="C7" s="234" t="s">
        <v>168</v>
      </c>
      <c r="D7" s="235"/>
      <c r="E7" s="205" t="s">
        <v>337</v>
      </c>
      <c r="F7" s="205" t="s">
        <v>338</v>
      </c>
      <c r="G7" s="205" t="s">
        <v>179</v>
      </c>
      <c r="H7" s="205" t="s">
        <v>339</v>
      </c>
      <c r="I7" s="197" t="s">
        <v>340</v>
      </c>
      <c r="J7" s="186" t="s">
        <v>341</v>
      </c>
      <c r="K7" s="206" t="s">
        <v>342</v>
      </c>
      <c r="L7" s="106" t="s">
        <v>343</v>
      </c>
      <c r="M7" s="207" t="s">
        <v>171</v>
      </c>
      <c r="O7" s="206" t="s">
        <v>342</v>
      </c>
      <c r="P7" s="106" t="s">
        <v>343</v>
      </c>
      <c r="Q7" s="207" t="s">
        <v>171</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25" customHeight="1">
      <c r="C8" s="236" t="s">
        <v>344</v>
      </c>
      <c r="D8" s="237"/>
      <c r="E8" s="38" t="str">
        <f ca="1">CONCATENATE(COUNTIF(E55:CR55,"CONFORME")," (",ROUND(COUNTIF(E55:CR55,"CONFORME")*100/COUNTA($E$19:CR$19),2)," %)")</f>
        <v>22 (23,91 %)</v>
      </c>
      <c r="F8" s="38" t="str">
        <f ca="1">CONCATENATE(COUNTIF(E55:CR55,"NO CONFORME")," (",ROUND(COUNTIF(E55:CR55,"NO CONFORME")*100/COUNTA($E$19:CR$19),2)," %)")</f>
        <v>28 (30,43 %)</v>
      </c>
      <c r="G8" s="39" t="str">
        <f ca="1">CONCATENATE(COUNTIF(E55:CR55,"N/A")," (",ROUND(COUNTIF(E55:CR55,"N/A")*100/COUNTA($E$19:CR$19),2)," %)")</f>
        <v>42 (45,65 %)</v>
      </c>
      <c r="H8" s="39">
        <f ca="1">COUNTIF(E55:CR55,"ERROR")</f>
        <v>0</v>
      </c>
      <c r="I8" s="40">
        <f ca="1">COUNTIF(E55:CR55,"EN CURSO")</f>
        <v>0</v>
      </c>
      <c r="J8" s="187">
        <f ca="1">SUM(VALUE(LEFT(E8,SEARCH(" ",E8)-1)),VALUE(LEFT(F8,SEARCH(" ",F8)-1)))</f>
        <v>50</v>
      </c>
      <c r="K8" s="41" t="s">
        <v>345</v>
      </c>
      <c r="L8" s="38">
        <f ca="1">COUNTIF( $E$20:INDIRECT("$CR$" &amp;  SUM(19,COUNTIFS(B20:B54,"&lt;&gt;"))),"Pasa")+ COUNTIF($E$61:INDIRECT("$AW$" &amp;  SUM(60,COUNTIFS(B61:B95,"&lt;&gt;"))),"Pasa")</f>
        <v>356</v>
      </c>
      <c r="M8" s="42">
        <f ca="1">IF(($L$11+$P$11)=0,0,L8/($L$11+$P$11))</f>
        <v>0.19347826086956521</v>
      </c>
      <c r="N8" s="26"/>
      <c r="O8" s="41" t="s">
        <v>175</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25" customHeight="1">
      <c r="B9" s="191"/>
      <c r="C9" s="242" t="s">
        <v>346</v>
      </c>
      <c r="D9" s="243"/>
      <c r="E9" s="140" t="str">
        <f ca="1">CONCATENATE(COUNTIF(E96:AW96,"CONFORME")," (",ROUND(COUNTIF(E96:AW96,"CONFORME")*100/COUNTA($E$60:AW$60),2)," %)")</f>
        <v>0 (0 %)</v>
      </c>
      <c r="F9" s="140" t="str">
        <f ca="1">CONCATENATE(COUNTIF(E96:AW96,"NO CONFORME")," (",ROUND(COUNTIF(E96:AW96,"NO CONFORME")*100/COUNTA($E$60:AW$60),2)," %)")</f>
        <v>0 (0 %)</v>
      </c>
      <c r="G9" s="189" t="str">
        <f ca="1">CONCATENATE(COUNTIF(E96:AW96,"N/A")," (",ROUND(COUNTIF(E96:AW96,"N/A")*100/COUNTA($E$60:AW$60),2)," %)")</f>
        <v>45 (100 %)</v>
      </c>
      <c r="H9" s="189">
        <f ca="1">COUNTIF(E96:AW96,"ERROR")</f>
        <v>0</v>
      </c>
      <c r="I9" s="190">
        <f ca="1">COUNTIF(E96:AW96,"EN CURSO")</f>
        <v>0</v>
      </c>
      <c r="J9" s="187">
        <f ca="1">SUM(VALUE(LEFT(E9,SEARCH(" ",E9)-1)),VALUE(LEFT(F9,SEARCH(" ",F9)-1)))</f>
        <v>0</v>
      </c>
      <c r="K9" s="41" t="s">
        <v>176</v>
      </c>
      <c r="L9" s="38">
        <f ca="1">COUNTIF( $E$20:INDIRECT("$CR$" &amp;  SUM(19,COUNTIFS(B20:B54,"&lt;&gt;"))),"Falla")+ COUNTIF($E$61:INDIRECT("$AW$" &amp;  SUM(60,COUNTIFS(B61:B95,"&lt;&gt;"))),"Falla")</f>
        <v>354</v>
      </c>
      <c r="M9" s="42">
        <f ca="1">IF(($L$11+$P$11)=0,0,L9/($L$11+$P$11))</f>
        <v>0.19239130434782609</v>
      </c>
      <c r="N9" s="26"/>
      <c r="O9" s="41" t="s">
        <v>177</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25" customHeight="1" thickBot="1">
      <c r="C10" s="247" t="s">
        <v>347</v>
      </c>
      <c r="D10" s="248"/>
      <c r="E10" s="192" t="str">
        <f ca="1">CONCATENATE(ROUND(E11/137*100,2)," %")</f>
        <v>16,06 %</v>
      </c>
      <c r="F10" s="192" t="str">
        <f ca="1">CONCATENATE(ROUND(F11/137*100,2)," %")</f>
        <v>20,44 %</v>
      </c>
      <c r="G10" s="192" t="str">
        <f ca="1">CONCATENATE(ROUND(G11/137*100,2)," %")</f>
        <v>63,5 %</v>
      </c>
      <c r="H10" s="192" t="str">
        <f ca="1">CONCATENATE(ROUND(H11/137*100,2)," %")</f>
        <v>0 %</v>
      </c>
      <c r="I10" s="194" t="str">
        <f ca="1">CONCATENATE(ROUND(I11/137*100,2)," %")</f>
        <v>0 %</v>
      </c>
      <c r="J10" s="195"/>
      <c r="K10" s="41" t="s">
        <v>179</v>
      </c>
      <c r="L10" s="38">
        <f ca="1">COUNTIF( $E$20:INDIRECT("$CR$" &amp;  SUM(19,COUNTIFS(B20:B54,"&lt;&gt;"))),"N/A")+COUNTIF($E$61:INDIRECT("$AW$" &amp;  SUM(60,COUNTIFS(B61:B95,"&lt;&gt;"))),"N/A")</f>
        <v>1130</v>
      </c>
      <c r="M10" s="42">
        <f ca="1">IF(($L$11+$P$11)=0,0,L10/($L$11+$P$11))</f>
        <v>0.61413043478260865</v>
      </c>
      <c r="N10" s="26"/>
      <c r="O10" s="139" t="s">
        <v>180</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25" customHeight="1" thickBot="1">
      <c r="C11" s="241"/>
      <c r="D11" s="241"/>
      <c r="E11" s="193">
        <f ca="1">SUM(VALUE(LEFT(E8,SEARCH(" ",E8)-1)),VALUE(LEFT(E9,SEARCH(" ",E9)-1)))</f>
        <v>22</v>
      </c>
      <c r="F11" s="193">
        <f ca="1">SUM(VALUE(LEFT(F8,SEARCH(" ",F8)-1)),VALUE(LEFT(F9,SEARCH(" ",F9)-1)))</f>
        <v>28</v>
      </c>
      <c r="G11" s="193">
        <f ca="1">SUM(VALUE(LEFT(G8,SEARCH(" ",G8)-1)),VALUE(LEFT(G9,SEARCH(" ",G9)-1)))</f>
        <v>87</v>
      </c>
      <c r="H11" s="193">
        <f ca="1">SUM(H8:H9)</f>
        <v>0</v>
      </c>
      <c r="I11" s="193">
        <f ca="1">SUM(I8:I9)</f>
        <v>0</v>
      </c>
      <c r="K11" s="43" t="s">
        <v>348</v>
      </c>
      <c r="L11" s="203">
        <f ca="1">SUM(L8:L10)</f>
        <v>1840</v>
      </c>
      <c r="M11" s="204">
        <f ca="1">SUM(M8:M10)</f>
        <v>1</v>
      </c>
      <c r="N11" s="26"/>
      <c r="O11" s="43" t="s">
        <v>348</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25"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75" customHeight="1" thickTop="1">
      <c r="B13" s="136"/>
      <c r="C13" s="136"/>
      <c r="D13" s="138" t="s">
        <v>349</v>
      </c>
      <c r="E13" s="18"/>
      <c r="F13" s="244" t="s">
        <v>350</v>
      </c>
      <c r="G13" s="245"/>
      <c r="H13" s="245"/>
      <c r="I13" s="246"/>
      <c r="J13" s="18"/>
      <c r="K13" s="244" t="s">
        <v>351</v>
      </c>
      <c r="L13" s="246"/>
      <c r="M13" s="18"/>
      <c r="N13" s="18"/>
      <c r="O13" s="18"/>
      <c r="P13" s="18"/>
      <c r="Q13" s="18"/>
      <c r="R13" s="18"/>
      <c r="S13" s="18"/>
      <c r="T13" s="18"/>
      <c r="U13" s="18"/>
      <c r="V13" s="18"/>
      <c r="W13" s="18"/>
      <c r="X13" s="18"/>
      <c r="Y13" s="18"/>
      <c r="Z13" s="18"/>
      <c r="AA13" s="18"/>
    </row>
    <row r="14" spans="2:65" ht="23.75" customHeight="1" thickBot="1">
      <c r="B14" s="136"/>
      <c r="C14" s="18"/>
      <c r="D14" s="165" t="str">
        <f ca="1">IF(COUNTIF('03.Muestra'!D8:D42,"Página Web")=0,"",IF(H11&gt;0,"Evaluación con errores",IF(OR(I11&gt;0,P11&gt;0),"Evaluación en curso",IF(F11=0,"Plenamente Conforme",IF(F11&gt;=(E11+F11)*'DATA - Oculta'!$C$26,"No Conforme","Parcialmente Conforme")))))</f>
        <v>No Conforme</v>
      </c>
      <c r="F14" s="238">
        <f ca="1">IF(AND(D14&lt;&gt;"Evaluación en curso",D14&lt;&gt;"Evaluación con errores",D14&lt;&gt;""), IF(J8=0,"", ROUND(((COUNT(B20:B54)/(COUNT(B20:B54)+COUNT(B61:B95)))*IF(J8=0,0,LEFT(E8,SEARCH(" ",E8)-1)/J8)+(COUNT(B61:B95)/(COUNT(B20:B54)+COUNT(B61:B95)))*IF(J9=0,0,LEFT(E9,SEARCH(" ",E9)-1)/J9))*10,2)),"")</f>
        <v>4.4000000000000004</v>
      </c>
      <c r="G14" s="239"/>
      <c r="H14" s="239"/>
      <c r="I14" s="240"/>
      <c r="J14" s="18"/>
      <c r="K14" s="238" t="str">
        <f>'03.Muestra'!D52</f>
        <v>SI</v>
      </c>
      <c r="L14" s="240"/>
      <c r="M14" s="18"/>
      <c r="N14" s="18"/>
      <c r="O14" s="18"/>
      <c r="P14" s="18"/>
      <c r="Q14" s="18"/>
      <c r="R14" s="18"/>
      <c r="S14" s="18"/>
      <c r="T14" s="18"/>
      <c r="U14" s="18"/>
      <c r="V14" s="18"/>
      <c r="W14" s="18"/>
      <c r="X14" s="18"/>
      <c r="Y14" s="18"/>
      <c r="Z14" s="18"/>
      <c r="AA14" s="18"/>
    </row>
    <row r="15" spans="2:65" ht="12.15"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15"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52" t="s">
        <v>344</v>
      </c>
      <c r="C17" s="253"/>
      <c r="D17" s="254"/>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49" t="s">
        <v>352</v>
      </c>
      <c r="C18" s="250"/>
      <c r="D18" s="251"/>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181</v>
      </c>
      <c r="C19" s="72" t="s">
        <v>353</v>
      </c>
      <c r="D19" s="72" t="s">
        <v>354</v>
      </c>
      <c r="E19" s="72" t="s">
        <v>355</v>
      </c>
      <c r="F19" s="72" t="s">
        <v>356</v>
      </c>
      <c r="G19" s="72" t="s">
        <v>357</v>
      </c>
      <c r="H19" s="72" t="s">
        <v>358</v>
      </c>
      <c r="I19" s="72" t="s">
        <v>359</v>
      </c>
      <c r="J19" s="72" t="s">
        <v>360</v>
      </c>
      <c r="K19" s="72" t="s">
        <v>361</v>
      </c>
      <c r="L19" s="72" t="s">
        <v>362</v>
      </c>
      <c r="M19" s="72" t="s">
        <v>363</v>
      </c>
      <c r="N19" s="72" t="s">
        <v>364</v>
      </c>
      <c r="O19" s="72" t="s">
        <v>365</v>
      </c>
      <c r="P19" s="72" t="s">
        <v>366</v>
      </c>
      <c r="Q19" s="72" t="s">
        <v>367</v>
      </c>
      <c r="R19" s="72" t="s">
        <v>368</v>
      </c>
      <c r="S19" s="72" t="s">
        <v>369</v>
      </c>
      <c r="T19" s="72" t="s">
        <v>370</v>
      </c>
      <c r="U19" s="72" t="s">
        <v>371</v>
      </c>
      <c r="V19" s="72" t="s">
        <v>372</v>
      </c>
      <c r="W19" s="72" t="s">
        <v>373</v>
      </c>
      <c r="X19" s="72" t="s">
        <v>374</v>
      </c>
      <c r="Y19" s="72" t="s">
        <v>375</v>
      </c>
      <c r="Z19" s="72" t="s">
        <v>376</v>
      </c>
      <c r="AA19" s="72" t="s">
        <v>377</v>
      </c>
      <c r="AB19" s="72" t="s">
        <v>378</v>
      </c>
      <c r="AC19" s="72" t="s">
        <v>379</v>
      </c>
      <c r="AD19" s="72" t="s">
        <v>380</v>
      </c>
      <c r="AE19" s="72" t="s">
        <v>381</v>
      </c>
      <c r="AF19" s="72" t="s">
        <v>382</v>
      </c>
      <c r="AG19" s="72" t="s">
        <v>383</v>
      </c>
      <c r="AH19" s="72" t="s">
        <v>384</v>
      </c>
      <c r="AI19" s="72" t="s">
        <v>385</v>
      </c>
      <c r="AJ19" s="72" t="s">
        <v>386</v>
      </c>
      <c r="AK19" s="72" t="s">
        <v>387</v>
      </c>
      <c r="AL19" s="72" t="s">
        <v>388</v>
      </c>
      <c r="AM19" s="72" t="s">
        <v>389</v>
      </c>
      <c r="AN19" s="72" t="s">
        <v>390</v>
      </c>
      <c r="AO19" s="72" t="s">
        <v>391</v>
      </c>
      <c r="AP19" s="72" t="s">
        <v>392</v>
      </c>
      <c r="AQ19" s="72" t="s">
        <v>393</v>
      </c>
      <c r="AR19" s="72" t="s">
        <v>394</v>
      </c>
      <c r="AS19" s="72" t="s">
        <v>395</v>
      </c>
      <c r="AT19" s="72" t="s">
        <v>396</v>
      </c>
      <c r="AU19" s="72" t="s">
        <v>397</v>
      </c>
      <c r="AV19" s="72" t="s">
        <v>398</v>
      </c>
      <c r="AW19" s="72" t="s">
        <v>399</v>
      </c>
      <c r="AX19" s="72" t="s">
        <v>400</v>
      </c>
      <c r="AY19" s="72" t="s">
        <v>401</v>
      </c>
      <c r="AZ19" s="72" t="s">
        <v>402</v>
      </c>
      <c r="BA19" s="72" t="s">
        <v>403</v>
      </c>
      <c r="BB19" s="72" t="s">
        <v>404</v>
      </c>
      <c r="BC19" s="72" t="s">
        <v>405</v>
      </c>
      <c r="BD19" s="72" t="s">
        <v>406</v>
      </c>
      <c r="BE19" s="72" t="s">
        <v>407</v>
      </c>
      <c r="BF19" s="72" t="s">
        <v>408</v>
      </c>
      <c r="BG19" s="72" t="s">
        <v>409</v>
      </c>
      <c r="BH19" s="72" t="s">
        <v>410</v>
      </c>
      <c r="BI19" s="72" t="s">
        <v>411</v>
      </c>
      <c r="BJ19" s="72" t="s">
        <v>412</v>
      </c>
      <c r="BK19" s="72" t="s">
        <v>413</v>
      </c>
      <c r="BL19" s="72" t="s">
        <v>414</v>
      </c>
      <c r="BM19" s="72" t="s">
        <v>415</v>
      </c>
      <c r="BN19" s="72" t="s">
        <v>416</v>
      </c>
      <c r="BO19" s="72" t="s">
        <v>417</v>
      </c>
      <c r="BP19" s="72" t="s">
        <v>418</v>
      </c>
      <c r="BQ19" s="72" t="s">
        <v>419</v>
      </c>
      <c r="BR19" s="72" t="s">
        <v>420</v>
      </c>
      <c r="BS19" s="72" t="s">
        <v>421</v>
      </c>
      <c r="BT19" s="72" t="s">
        <v>422</v>
      </c>
      <c r="BU19" s="72" t="s">
        <v>423</v>
      </c>
      <c r="BV19" s="72" t="s">
        <v>424</v>
      </c>
      <c r="BW19" s="72" t="s">
        <v>425</v>
      </c>
      <c r="BX19" s="72" t="s">
        <v>426</v>
      </c>
      <c r="BY19" s="72" t="s">
        <v>427</v>
      </c>
      <c r="BZ19" s="72" t="s">
        <v>428</v>
      </c>
      <c r="CA19" s="72" t="s">
        <v>429</v>
      </c>
      <c r="CB19" s="72" t="s">
        <v>430</v>
      </c>
      <c r="CC19" s="72" t="s">
        <v>431</v>
      </c>
      <c r="CD19" s="72" t="s">
        <v>432</v>
      </c>
      <c r="CE19" s="72" t="s">
        <v>433</v>
      </c>
      <c r="CF19" s="72" t="s">
        <v>434</v>
      </c>
      <c r="CG19" s="72" t="s">
        <v>435</v>
      </c>
      <c r="CH19" s="72" t="s">
        <v>436</v>
      </c>
      <c r="CI19" s="72" t="s">
        <v>437</v>
      </c>
      <c r="CJ19" s="72" t="s">
        <v>438</v>
      </c>
      <c r="CK19" s="72" t="s">
        <v>439</v>
      </c>
      <c r="CL19" s="72" t="s">
        <v>440</v>
      </c>
      <c r="CM19" s="72" t="s">
        <v>441</v>
      </c>
      <c r="CN19" s="72" t="s">
        <v>442</v>
      </c>
      <c r="CO19" s="72" t="s">
        <v>443</v>
      </c>
      <c r="CP19" s="72" t="s">
        <v>444</v>
      </c>
      <c r="CQ19" s="72" t="s">
        <v>445</v>
      </c>
      <c r="CR19" s="72" t="s">
        <v>446</v>
      </c>
    </row>
    <row r="20" spans="2:100" ht="20.5">
      <c r="B20" s="39" cm="1">
        <f t="array" ref="B20">IFERROR(INDEX('03.Muestra'!$B$8:$B$42,SMALL(IF("Página Web"='03.Muestra'!$D$8:$D$42,ROW('03.Muestra'!$B$8:$B$42)-MIN(ROW('03.Muestra'!$D$8:$D$42))+1,""),ROW()-19)),"")</f>
        <v>1</v>
      </c>
      <c r="C20" s="73" t="str" cm="1">
        <f t="array" ref="C20">IFERROR(INDEX('03.Muestra'!$C$8:$C$42,SMALL(IF("Página Web"='03.Muestra'!$D$8:$D$42,ROW('03.Muestra'!$C$8:$C$42)-MIN(ROW('03.Muestra'!$D$8:$D$42))+1,""),ROW()-19)),"")</f>
        <v>Inicio</v>
      </c>
      <c r="D20" s="74" t="str" cm="1">
        <f t="array" ref="D20">IFERROR(INDEX('03.Muestra'!$F$8:$F$42,SMALL(IF("Página Web"='03.Muestra'!$D$8:$D$42,ROW('03.Muestra'!$F$8:$F$42)-MIN(ROW('03.Muestra'!$D$8:$D$42))+1,""),ROW()-19)),"")</f>
        <v>https://elecciones.comunidad.madrid/es</v>
      </c>
      <c r="E20" s="75" t="str" cm="1">
        <f t="array" aca="1" ref="E20" ca="1">IF($B20="","",IF(ISBLANK(INDIRECT("R5.Genéricos!D"&amp;SUM(18,38*0,1))),"",INDIRECT("R5.Genéricos!D"&amp;SUM(18,38*0,1))))</f>
        <v>N/A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Falla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Falla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Falla</v>
      </c>
      <c r="AJ20" s="75" t="str" cm="1">
        <f t="array" aca="1" ref="AJ20" ca="1">IF($B20="","",IF(ISBLANK(INDIRECT("R9.Web!D"&amp;SUM(18,38*0,1))),"",INDIRECT("R9.Web!D"&amp;SUM(18,38*0,1))))</f>
        <v>Pasa</v>
      </c>
      <c r="AK20" s="75" t="str" cm="1">
        <f t="array" aca="1" ref="AK20" ca="1">IF($B20="","",IF(ISBLANK(INDIRECT("R9.Web!D"&amp;SUM(18,38*1,1))),"",INDIRECT("R9.Web!D"&amp;SUM(18,38*1,1))))</f>
        <v>N/A</v>
      </c>
      <c r="AL20" s="75" t="str" cm="1">
        <f t="array" aca="1" ref="AL20" ca="1">IF($B20="","",IF(ISBLANK(INDIRECT("R9.Web!D"&amp;SUM(18,38*2,1))),"",INDIRECT("R9.Web!D"&amp;SUM(18,38*2,1))))</f>
        <v>Falla</v>
      </c>
      <c r="AM20" s="75" t="str" cm="1">
        <f t="array" aca="1" ref="AM20" ca="1">IF($B20="","",IF(ISBLANK(INDIRECT("R9.Web!D"&amp;SUM(18,38*3,1))),"",INDIRECT("R9.Web!D"&amp;SUM(18,38*3,1))))</f>
        <v>Falla</v>
      </c>
      <c r="AN20" s="75" t="str" cm="1">
        <f t="array" aca="1" ref="AN20" ca="1">IF($B20="","",IF(ISBLANK(INDIRECT("R9.Web!D"&amp;SUM(18,38*4,1))),"",INDIRECT("R9.Web!D"&amp;SUM(18,38*4,1))))</f>
        <v>Falla</v>
      </c>
      <c r="AO20" s="75" t="str" cm="1">
        <f t="array" aca="1" ref="AO20" ca="1">IF($B20="","",IF(ISBLANK(INDIRECT("R9.Web!D"&amp;SUM(18,38*5,1))),"",INDIRECT("R9.Web!D"&amp;SUM(18,38*5,1))))</f>
        <v>Falla</v>
      </c>
      <c r="AP20" s="75" t="str" cm="1">
        <f t="array" aca="1" ref="AP20" ca="1">IF($B20="","",IF(ISBLANK(INDIRECT("R9.Web!D"&amp;SUM(18,38*6,1))),"",INDIRECT("R9.Web!D"&amp;SUM(18,38*6,1))))</f>
        <v>Falla</v>
      </c>
      <c r="AQ20" s="75" t="str" cm="1">
        <f t="array" aca="1" ref="AQ20" ca="1">IF($B20="","",IF(ISBLANK(INDIRECT("R9.Web!D"&amp;SUM(18,38*7,1))),"",INDIRECT("R9.Web!D"&amp;SUM(18,38*7,1))))</f>
        <v>Falla</v>
      </c>
      <c r="AR20" s="75" t="str" cm="1">
        <f t="array" aca="1" ref="AR20" ca="1">IF($B20="","",IF(ISBLANK(INDIRECT("R9.Web!D"&amp;SUM(18,38*8,1))),"",INDIRECT("R9.Web!D"&amp;SUM(18,38*8,1))))</f>
        <v>Falla</v>
      </c>
      <c r="AS20" s="75" t="str" cm="1">
        <f t="array" aca="1" ref="AS20" ca="1">IF($B20="","",IF(ISBLANK(INDIRECT("R9.Web!D"&amp;SUM(18,38*9,1))),"",INDIRECT("R9.Web!D"&amp;SUM(18,38*9,1))))</f>
        <v>N/A</v>
      </c>
      <c r="AT20" s="75" t="str" cm="1">
        <f t="array" aca="1" ref="AT20" ca="1">IF($B20="","",IF(ISBLANK(INDIRECT("R9.Web!D"&amp;SUM(18,38*10,1))),"",INDIRECT("R9.Web!D"&amp;SUM(18,38*10,1))))</f>
        <v>Pasa</v>
      </c>
      <c r="AU20" s="75" t="str" cm="1">
        <f t="array" aca="1" ref="AU20" ca="1">IF($B20="","",IF(ISBLANK(INDIRECT("R9.Web!D"&amp;SUM(18,38*11,1))),"",INDIRECT("R9.Web!D"&amp;SUM(18,38*11,1))))</f>
        <v>N/A</v>
      </c>
      <c r="AV20" s="75" t="str" cm="1">
        <f t="array" aca="1" ref="AV20" ca="1">IF($B20="","",IF(ISBLANK(INDIRECT("R9.Web!D"&amp;SUM(18,38*12,1))),"",INDIRECT("R9.Web!D"&amp;SUM(18,38*12,1))))</f>
        <v>Pasa</v>
      </c>
      <c r="AW20" s="75" t="str" cm="1">
        <f t="array" aca="1" ref="AW20" ca="1">IF($B20="","",IF(ISBLANK(INDIRECT("R9.Web!D"&amp;SUM(18,38*13,1))),"",INDIRECT("R9.Web!D"&amp;SUM(18,38*13,1))))</f>
        <v>Falla</v>
      </c>
      <c r="AX20" s="75" t="str" cm="1">
        <f t="array" aca="1" ref="AX20" ca="1">IF($B20="","",IF(ISBLANK(INDIRECT("R9.Web!D"&amp;SUM(18,38*14,1))),"",INDIRECT("R9.Web!D"&amp;SUM(18,38*14,1))))</f>
        <v>N/A</v>
      </c>
      <c r="AY20" s="75" t="str" cm="1">
        <f t="array" aca="1" ref="AY20" ca="1">IF($B20="","",IF(ISBLANK(INDIRECT("R9.Web!D"&amp;SUM(18,38*15,1))),"",INDIRECT("R9.Web!D"&amp;SUM(18,38*15,1))))</f>
        <v>Falla</v>
      </c>
      <c r="AZ20" s="75" t="str" cm="1">
        <f t="array" aca="1" ref="AZ20" ca="1">IF($B20="","",IF(ISBLANK(INDIRECT("R9.Web!D"&amp;SUM(18,38*16,1))),"",INDIRECT("R9.Web!D"&amp;SUM(18,38*16,1))))</f>
        <v>Falla</v>
      </c>
      <c r="BA20" s="75" t="str" cm="1">
        <f t="array" aca="1" ref="BA20" ca="1">IF($B20="","",IF(ISBLANK(INDIRECT("R9.Web!D"&amp;SUM(18,38*17,1))),"",INDIRECT("R9.Web!D"&amp;SUM(18,38*17,1))))</f>
        <v>Pasa</v>
      </c>
      <c r="BB20" s="75" t="str" cm="1">
        <f t="array" aca="1" ref="BB20" ca="1">IF($B20="","",IF(ISBLANK(INDIRECT("R9.Web!D"&amp;SUM(18,38*18,1))),"",INDIRECT("R9.Web!D"&amp;SUM(18,38*18,1))))</f>
        <v>Falla</v>
      </c>
      <c r="BC20" s="75" t="str" cm="1">
        <f t="array" aca="1" ref="BC20" ca="1">IF($B20="","",IF(ISBLANK(INDIRECT("R9.Web!D"&amp;SUM(18,38*19,1))),"",INDIRECT("R9.Web!D"&amp;SUM(18,38*19,1))))</f>
        <v>Falla</v>
      </c>
      <c r="BD20" s="75" t="str" cm="1">
        <f t="array" aca="1" ref="BD20" ca="1">IF($B20="","",IF(ISBLANK(INDIRECT("R9.Web!D"&amp;SUM(18,38*20,1))),"",INDIRECT("R9.Web!D"&amp;SUM(18,38*20,1))))</f>
        <v>Pasa</v>
      </c>
      <c r="BE20" s="75" t="str" cm="1">
        <f t="array" aca="1" ref="BE20" ca="1">IF($B20="","",IF(ISBLANK(INDIRECT("R9.Web!D"&amp;SUM(18,38*21,1))),"",INDIRECT("R9.Web!D"&amp;SUM(18,38*21,1))))</f>
        <v>N/A</v>
      </c>
      <c r="BF20" s="75" t="str" cm="1">
        <f t="array" aca="1" ref="BF20" ca="1">IF($B20="","",IF(ISBLANK(INDIRECT("R9.Web!D"&amp;SUM(18,38*22,1))),"",INDIRECT("R9.Web!D"&amp;SUM(18,38*22,1))))</f>
        <v>Pasa</v>
      </c>
      <c r="BG20" s="75" t="str" cm="1">
        <f t="array" aca="1" ref="BG20" ca="1">IF($B20="","",IF(ISBLANK(INDIRECT("R9.Web!D"&amp;SUM(18,38*23,1))),"",INDIRECT("R9.Web!D"&amp;SUM(18,38*23,1))))</f>
        <v>N/A</v>
      </c>
      <c r="BH20" s="75" t="str" cm="1">
        <f t="array" aca="1" ref="BH20" ca="1">IF($B20="","",IF(ISBLANK(INDIRECT("R9.Web!D"&amp;SUM(18,38*24,1))),"",INDIRECT("R9.Web!D"&amp;SUM(18,38*24,1))))</f>
        <v>N/A</v>
      </c>
      <c r="BI20" s="75" t="str" cm="1">
        <f t="array" aca="1" ref="BI20" ca="1">IF($B20="","",IF(ISBLANK(INDIRECT("R9.Web!D"&amp;SUM(18,38*25,1))),"",INDIRECT("R9.Web!D"&amp;SUM(18,38*25,1))))</f>
        <v>Pasa</v>
      </c>
      <c r="BJ20" s="75" t="str" cm="1">
        <f t="array" aca="1" ref="BJ20" ca="1">IF($B20="","",IF(ISBLANK(INDIRECT("R9.Web!D"&amp;SUM(18,38*26,1))),"",INDIRECT("R9.Web!D"&amp;SUM(18,38*26,1))))</f>
        <v>Pasa</v>
      </c>
      <c r="BK20" s="75" t="str" cm="1">
        <f t="array" aca="1" ref="BK20" ca="1">IF($B20="","",IF(ISBLANK(INDIRECT("R9.Web!D"&amp;SUM(18,38*27,1))),"",INDIRECT("R9.Web!D"&amp;SUM(18,38*27,1))))</f>
        <v>Falla</v>
      </c>
      <c r="BL20" s="75" t="str" cm="1">
        <f t="array" aca="1" ref="BL20" ca="1">IF($B20="","",IF(ISBLANK(INDIRECT("R9.Web!D"&amp;SUM(18,38*28,1))),"",INDIRECT("R9.Web!D"&amp;SUM(18,38*28,1))))</f>
        <v>Falla</v>
      </c>
      <c r="BM20" s="75" t="str" cm="1">
        <f t="array" aca="1" ref="BM20" ca="1">IF($B20="","",IF(ISBLANK(INDIRECT("R9.Web!D"&amp;SUM(18,38*29,1))),"",INDIRECT("R9.Web!D"&amp;SUM(18,38*29,1))))</f>
        <v>Pasa</v>
      </c>
      <c r="BN20" s="75" t="str" cm="1">
        <f t="array" aca="1" ref="BN20" ca="1">IF($B20="","",IF(ISBLANK(INDIRECT("R9.Web!D"&amp;SUM(18,38*30,1))),"",INDIRECT("R9.Web!D"&amp;SUM(18,38*30,1))))</f>
        <v>Pasa</v>
      </c>
      <c r="BO20" s="75" t="str" cm="1">
        <f t="array" aca="1" ref="BO20" ca="1">IF($B20="","",IF(ISBLANK(INDIRECT("R9.Web!D"&amp;SUM(18,38*31,1))),"",INDIRECT("R9.Web!D"&amp;SUM(18,38*31,1))))</f>
        <v>Falla</v>
      </c>
      <c r="BP20" s="75" t="str" cm="1">
        <f t="array" aca="1" ref="BP20" ca="1">IF($B20="","",IF(ISBLANK(INDIRECT("R9.Web!D"&amp;SUM(18,38*32,1))),"",INDIRECT("R9.Web!D"&amp;SUM(18,38*32,1))))</f>
        <v>N/A</v>
      </c>
      <c r="BQ20" s="75" t="str" cm="1">
        <f t="array" aca="1" ref="BQ20" ca="1">IF($B20="","",IF(ISBLANK(INDIRECT("R9.Web!D"&amp;SUM(18,38*33,1))),"",INDIRECT("R9.Web!D"&amp;SUM(18,38*33,1))))</f>
        <v>Pasa</v>
      </c>
      <c r="BR20" s="75" t="str" cm="1">
        <f t="array" aca="1" ref="BR20" ca="1">IF($B20="","",IF(ISBLANK(INDIRECT("R9.Web!D"&amp;SUM(18,38*34,1))),"",INDIRECT("R9.Web!D"&amp;SUM(18,38*34,1))))</f>
        <v>Falla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N/A</v>
      </c>
      <c r="BV20" s="75" t="str" cm="1">
        <f t="array" aca="1" ref="BV20" ca="1">IF($B20="","",IF(ISBLANK(INDIRECT("R9.Web!D"&amp;SUM(18,38*38,1))),"",INDIRECT("R9.Web!D"&amp;SUM(18,38*38,1))))</f>
        <v>Pasa</v>
      </c>
      <c r="BW20" s="75" t="str" cm="1">
        <f t="array" aca="1" ref="BW20" ca="1">IF($B20="","",IF(ISBLANK(INDIRECT("R9.Web!D"&amp;SUM(18,38*39,1))),"",INDIRECT("R9.Web!D"&amp;SUM(18,38*39,1))))</f>
        <v>Pasa</v>
      </c>
      <c r="BX20" s="75" t="str" cm="1">
        <f t="array" aca="1" ref="BX20" ca="1">IF($B20="","",IF(ISBLANK(INDIRECT("R9.Web!D"&amp;SUM(18,38*40,1))),"",INDIRECT("R9.Web!D"&amp;SUM(18,38*40,1))))</f>
        <v>Falla</v>
      </c>
      <c r="BY20" s="75" t="str" cm="1">
        <f t="array" aca="1" ref="BY20" ca="1">IF($B20="","",IF(ISBLANK(INDIRECT("R9.Web!D"&amp;SUM(18,38*41,1))),"",INDIRECT("R9.Web!D"&amp;SUM(18,38*41,1))))</f>
        <v>Pasa</v>
      </c>
      <c r="BZ20" s="75" t="str" cm="1">
        <f t="array" aca="1" ref="BZ20" ca="1">IF($B20="","",IF(ISBLANK(INDIRECT("R9.Web!D"&amp;SUM(18,38*42,1))),"",INDIRECT("R9.Web!D"&amp;SUM(18,38*42,1))))</f>
        <v>N/A</v>
      </c>
      <c r="CA20" s="75" t="str" cm="1">
        <f t="array" aca="1" ref="CA20" ca="1">IF($B20="","",IF(ISBLANK(INDIRECT("R9.Web!D"&amp;SUM(18,38*43,1))),"",INDIRECT("R9.Web!D"&amp;SUM(18,38*43,1))))</f>
        <v>Pasa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N/A</v>
      </c>
      <c r="CE20" s="75" t="str" cm="1">
        <f t="array" aca="1" ref="CE20" ca="1">IF($B20="","",IF(ISBLANK(INDIRECT("R9.Web!D"&amp;SUM(18,38*47,1))),"",INDIRECT("R9.Web!D"&amp;SUM(18,38*47,1))))</f>
        <v>Pasa</v>
      </c>
      <c r="CF20" s="75" t="str" cm="1">
        <f t="array" aca="1" ref="CF20" ca="1">IF($B20="","",IF(ISBLANK(INDIRECT("R9.Web!D"&amp;SUM(18,38*48,1))),"",INDIRECT("R9.Web!D"&amp;SUM(18,38*48,1))))</f>
        <v>N/A</v>
      </c>
      <c r="CG20" s="75" t="str" cm="1">
        <f t="array" aca="1" ref="CG20" ca="1">IF($B20="","",IF(ISBLANK(INDIRECT("R9.Web!D"&amp;SUM(18,38*49,1))),"",INDIRECT("R9.Web!D"&amp;SUM(18,38*49,1))))</f>
        <v>Falla</v>
      </c>
      <c r="CH20" s="75" t="str" cm="1">
        <f t="array" aca="1" ref="CH20" ca="1">IF($B20="","",IF(ISBLANK(INDIRECT("R11.Software!D"&amp;SUM(18,38*0,1))),"",INDIRECT("R11.Software!D"&amp;SUM(18,38*0,1))))</f>
        <v>Falla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N/A</v>
      </c>
      <c r="CO20" s="75" t="str" cm="1">
        <f t="array" aca="1" ref="CO20" ca="1">IF($B20="","",IF(ISBLANK(INDIRECT("R12.ServiciosApoyo!D"&amp;SUM(18,38*1,1))),"",INDIRECT("R12.ServiciosApoyo!D"&amp;SUM(18,38*1,1))))</f>
        <v>N/A</v>
      </c>
      <c r="CP20" s="75" t="str" cm="1">
        <f t="array" aca="1" ref="CP20" ca="1">IF($B20="","",IF(ISBLANK(INDIRECT("R12.ServiciosApoyo!D"&amp;SUM(18,38*2,1))),"",INDIRECT("R12.ServiciosApoyo!D"&amp;SUM(18,38*2,1))))</f>
        <v>N/A</v>
      </c>
      <c r="CQ20" s="75" t="str" cm="1">
        <f t="array" aca="1" ref="CQ20" ca="1">IF($B20="","",IF(ISBLANK(INDIRECT("R12.ServiciosApoyo!D"&amp;SUM(18,38*3,1))),"",INDIRECT("R12.ServiciosApoyo!D"&amp;SUM(18,38*3,1))))</f>
        <v>N/A</v>
      </c>
      <c r="CR20" s="75" t="str" cm="1">
        <f t="array" aca="1" ref="CR20" ca="1">IF($B20="","",IF(ISBLANK(INDIRECT("R12.ServiciosApoyo!D"&amp;SUM(18,38*4,1))),"",INDIRECT("R12.ServiciosApoyo!D"&amp;SUM(18,38*4,1))))</f>
        <v>N/A</v>
      </c>
      <c r="CU20" s="28"/>
    </row>
    <row r="21" spans="2:100" ht="20.5">
      <c r="B21" s="39" cm="1">
        <f t="array" ref="B21">IFERROR(INDEX('03.Muestra'!$B$8:$B$42,SMALL(IF("Página Web"='03.Muestra'!$D$8:$D$42,ROW('03.Muestra'!$B$8:$B$42)-MIN(ROW('03.Muestra'!$D$8:$D$42))+1,""),ROW()-19)),"")</f>
        <v>2</v>
      </c>
      <c r="C21" s="73" t="str" cm="1">
        <f t="array" ref="C21">IFERROR(INDEX('03.Muestra'!$C$8:$C$42,SMALL(IF("Página Web"='03.Muestra'!$D$8:$D$42,ROW('03.Muestra'!$C$8:$C$42)-MIN(ROW('03.Muestra'!$D$8:$D$42))+1,""),ROW()-19)),"")</f>
        <v>Resultado Elecciones 28M 2023</v>
      </c>
      <c r="D21" s="74" t="str" cm="1">
        <f t="array" ref="D21">IFERROR(INDEX('03.Muestra'!$F$8:$F$42,SMALL(IF("Página Web"='03.Muestra'!$D$8:$D$42,ROW('03.Muestra'!$F$8:$F$42)-MIN(ROW('03.Muestra'!$D$8:$D$42))+1,""),ROW()-19)),"")</f>
        <v>https://elecciones.comunidad.madrid/es/resultados-elecciones-asamblea-madrid-28m-2023</v>
      </c>
      <c r="E21" s="75" t="str" cm="1">
        <f t="array" aca="1" ref="E21" ca="1">IF($B21="","",IF(ISBLANK(INDIRECT("R5.Genéricos!D"&amp;SUM(18,38*0,2))),"",INDIRECT("R5.Genéricos!D"&amp;SUM(18,38*0,2))))</f>
        <v>Falla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Pasa</v>
      </c>
      <c r="AK21" s="75" t="str" cm="1">
        <f t="array" aca="1" ref="AK21" ca="1">IF($B21="","",IF(ISBLANK(INDIRECT("R9.Web!D"&amp;SUM(18,38*1,2))),"",INDIRECT("R9.Web!D"&amp;SUM(18,38*1,2))))</f>
        <v>N/A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Falla</v>
      </c>
      <c r="AP21" s="75" t="str" cm="1">
        <f t="array" aca="1" ref="AP21" ca="1">IF($B21="","",IF(ISBLANK(INDIRECT("R9.Web!D"&amp;SUM(18,38*6,2))),"",INDIRECT("R9.Web!D"&amp;SUM(18,38*6,2))))</f>
        <v>Falla</v>
      </c>
      <c r="AQ21" s="75" t="str" cm="1">
        <f t="array" aca="1" ref="AQ21" ca="1">IF($B21="","",IF(ISBLANK(INDIRECT("R9.Web!D"&amp;SUM(18,38*7,2))),"",INDIRECT("R9.Web!D"&amp;SUM(18,38*7,2))))</f>
        <v>Falla</v>
      </c>
      <c r="AR21" s="75" t="str" cm="1">
        <f t="array" aca="1" ref="AR21" ca="1">IF($B21="","",IF(ISBLANK(INDIRECT("R9.Web!D"&amp;SUM(18,38*8,2))),"",INDIRECT("R9.Web!D"&amp;SUM(18,38*8,2))))</f>
        <v>Falla</v>
      </c>
      <c r="AS21" s="75" t="str" cm="1">
        <f t="array" aca="1" ref="AS21" ca="1">IF($B21="","",IF(ISBLANK(INDIRECT("R9.Web!D"&amp;SUM(18,38*9,2))),"",INDIRECT("R9.Web!D"&amp;SUM(18,38*9,2))))</f>
        <v>N/A</v>
      </c>
      <c r="AT21" s="75" t="str" cm="1">
        <f t="array" aca="1" ref="AT21" ca="1">IF($B21="","",IF(ISBLANK(INDIRECT("R9.Web!D"&amp;SUM(18,38*10,2))),"",INDIRECT("R9.Web!D"&amp;SUM(18,38*10,2))))</f>
        <v>Pasa</v>
      </c>
      <c r="AU21" s="75" t="str" cm="1">
        <f t="array" aca="1" ref="AU21" ca="1">IF($B21="","",IF(ISBLANK(INDIRECT("R9.Web!D"&amp;SUM(18,38*11,2))),"",INDIRECT("R9.Web!D"&amp;SUM(18,38*11,2))))</f>
        <v>N/A</v>
      </c>
      <c r="AV21" s="75" t="str" cm="1">
        <f t="array" aca="1" ref="AV21" ca="1">IF($B21="","",IF(ISBLANK(INDIRECT("R9.Web!D"&amp;SUM(18,38*12,2))),"",INDIRECT("R9.Web!D"&amp;SUM(18,38*12,2))))</f>
        <v>Pasa</v>
      </c>
      <c r="AW21" s="75" t="str" cm="1">
        <f t="array" aca="1" ref="AW21" ca="1">IF($B21="","",IF(ISBLANK(INDIRECT("R9.Web!D"&amp;SUM(18,38*13,2))),"",INDIRECT("R9.Web!D"&amp;SUM(18,38*13,2))))</f>
        <v>Falla</v>
      </c>
      <c r="AX21" s="75" t="str" cm="1">
        <f t="array" aca="1" ref="AX21" ca="1">IF($B21="","",IF(ISBLANK(INDIRECT("R9.Web!D"&amp;SUM(18,38*14,2))),"",INDIRECT("R9.Web!D"&amp;SUM(18,38*14,2))))</f>
        <v>Pasa</v>
      </c>
      <c r="AY21" s="75" t="str" cm="1">
        <f t="array" aca="1" ref="AY21" ca="1">IF($B21="","",IF(ISBLANK(INDIRECT("R9.Web!D"&amp;SUM(18,38*15,2))),"",INDIRECT("R9.Web!D"&amp;SUM(18,38*15,2))))</f>
        <v>Falla</v>
      </c>
      <c r="AZ21" s="75" t="str" cm="1">
        <f t="array" aca="1" ref="AZ21" ca="1">IF($B21="","",IF(ISBLANK(INDIRECT("R9.Web!D"&amp;SUM(18,38*16,2))),"",INDIRECT("R9.Web!D"&amp;SUM(18,38*16,2))))</f>
        <v>Falla</v>
      </c>
      <c r="BA21" s="75" t="str" cm="1">
        <f t="array" aca="1" ref="BA21" ca="1">IF($B21="","",IF(ISBLANK(INDIRECT("R9.Web!D"&amp;SUM(18,38*17,2))),"",INDIRECT("R9.Web!D"&amp;SUM(18,38*17,2))))</f>
        <v>Pasa</v>
      </c>
      <c r="BB21" s="75" t="str" cm="1">
        <f t="array" aca="1" ref="BB21" ca="1">IF($B21="","",IF(ISBLANK(INDIRECT("R9.Web!D"&amp;SUM(18,38*18,2))),"",INDIRECT("R9.Web!D"&amp;SUM(18,38*18,2))))</f>
        <v>Falla</v>
      </c>
      <c r="BC21" s="75" t="str" cm="1">
        <f t="array" aca="1" ref="BC21" ca="1">IF($B21="","",IF(ISBLANK(INDIRECT("R9.Web!D"&amp;SUM(18,38*19,2))),"",INDIRECT("R9.Web!D"&amp;SUM(18,38*19,2))))</f>
        <v>Falla</v>
      </c>
      <c r="BD21" s="75" t="str" cm="1">
        <f t="array" aca="1" ref="BD21" ca="1">IF($B21="","",IF(ISBLANK(INDIRECT("R9.Web!D"&amp;SUM(18,38*20,2))),"",INDIRECT("R9.Web!D"&amp;SUM(18,38*20,2))))</f>
        <v>Pasa</v>
      </c>
      <c r="BE21" s="75" t="str" cm="1">
        <f t="array" aca="1" ref="BE21" ca="1">IF($B21="","",IF(ISBLANK(INDIRECT("R9.Web!D"&amp;SUM(18,38*21,2))),"",INDIRECT("R9.Web!D"&amp;SUM(18,38*21,2))))</f>
        <v>N/A</v>
      </c>
      <c r="BF21" s="75" t="str" cm="1">
        <f t="array" aca="1" ref="BF21" ca="1">IF($B21="","",IF(ISBLANK(INDIRECT("R9.Web!D"&amp;SUM(18,38*22,2))),"",INDIRECT("R9.Web!D"&amp;SUM(18,38*22,2))))</f>
        <v>Pasa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Pasa</v>
      </c>
      <c r="BJ21" s="75" t="str" cm="1">
        <f t="array" aca="1" ref="BJ21" ca="1">IF($B21="","",IF(ISBLANK(INDIRECT("R9.Web!D"&amp;SUM(18,38*26,2))),"",INDIRECT("R9.Web!D"&amp;SUM(18,38*26,2))))</f>
        <v>Pasa</v>
      </c>
      <c r="BK21" s="75" t="str" cm="1">
        <f t="array" aca="1" ref="BK21" ca="1">IF($B21="","",IF(ISBLANK(INDIRECT("R9.Web!D"&amp;SUM(18,38*27,2))),"",INDIRECT("R9.Web!D"&amp;SUM(18,38*27,2))))</f>
        <v>Falla</v>
      </c>
      <c r="BL21" s="75" t="str" cm="1">
        <f t="array" aca="1" ref="BL21" ca="1">IF($B21="","",IF(ISBLANK(INDIRECT("R9.Web!D"&amp;SUM(18,38*28,2))),"",INDIRECT("R9.Web!D"&amp;SUM(18,38*28,2))))</f>
        <v>Falla</v>
      </c>
      <c r="BM21" s="75" t="str" cm="1">
        <f t="array" aca="1" ref="BM21" ca="1">IF($B21="","",IF(ISBLANK(INDIRECT("R9.Web!D"&amp;SUM(18,38*29,2))),"",INDIRECT("R9.Web!D"&amp;SUM(18,38*29,2))))</f>
        <v>Pasa</v>
      </c>
      <c r="BN21" s="75" t="str" cm="1">
        <f t="array" aca="1" ref="BN21" ca="1">IF($B21="","",IF(ISBLANK(INDIRECT("R9.Web!D"&amp;SUM(18,38*30,2))),"",INDIRECT("R9.Web!D"&amp;SUM(18,38*30,2))))</f>
        <v>Pasa</v>
      </c>
      <c r="BO21" s="75" t="str" cm="1">
        <f t="array" aca="1" ref="BO21" ca="1">IF($B21="","",IF(ISBLANK(INDIRECT("R9.Web!D"&amp;SUM(18,38*31,2))),"",INDIRECT("R9.Web!D"&amp;SUM(18,38*31,2))))</f>
        <v>Falla</v>
      </c>
      <c r="BP21" s="75" t="str" cm="1">
        <f t="array" aca="1" ref="BP21" ca="1">IF($B21="","",IF(ISBLANK(INDIRECT("R9.Web!D"&amp;SUM(18,38*32,2))),"",INDIRECT("R9.Web!D"&amp;SUM(18,38*32,2))))</f>
        <v>N/A</v>
      </c>
      <c r="BQ21" s="75" t="str" cm="1">
        <f t="array" aca="1" ref="BQ21" ca="1">IF($B21="","",IF(ISBLANK(INDIRECT("R9.Web!D"&amp;SUM(18,38*33,2))),"",INDIRECT("R9.Web!D"&amp;SUM(18,38*33,2))))</f>
        <v>Pasa</v>
      </c>
      <c r="BR21" s="75" t="str" cm="1">
        <f t="array" aca="1" ref="BR21" ca="1">IF($B21="","",IF(ISBLANK(INDIRECT("R9.Web!D"&amp;SUM(18,38*34,2))),"",INDIRECT("R9.Web!D"&amp;SUM(18,38*34,2))))</f>
        <v>Falla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N/A</v>
      </c>
      <c r="BV21" s="75" t="str" cm="1">
        <f t="array" aca="1" ref="BV21" ca="1">IF($B21="","",IF(ISBLANK(INDIRECT("R9.Web!D"&amp;SUM(18,38*38,2))),"",INDIRECT("R9.Web!D"&amp;SUM(18,38*38,2))))</f>
        <v>Pasa</v>
      </c>
      <c r="BW21" s="75" t="str" cm="1">
        <f t="array" aca="1" ref="BW21" ca="1">IF($B21="","",IF(ISBLANK(INDIRECT("R9.Web!D"&amp;SUM(18,38*39,2))),"",INDIRECT("R9.Web!D"&amp;SUM(18,38*39,2))))</f>
        <v>Pasa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N/A</v>
      </c>
      <c r="CA21" s="75" t="str" cm="1">
        <f t="array" aca="1" ref="CA21" ca="1">IF($B21="","",IF(ISBLANK(INDIRECT("R9.Web!D"&amp;SUM(18,38*43,2))),"",INDIRECT("R9.Web!D"&amp;SUM(18,38*43,2))))</f>
        <v>Pasa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N/A</v>
      </c>
      <c r="CE21" s="75" t="str" cm="1">
        <f t="array" aca="1" ref="CE21" ca="1">IF($B21="","",IF(ISBLANK(INDIRECT("R9.Web!D"&amp;SUM(18,38*47,2))),"",INDIRECT("R9.Web!D"&amp;SUM(18,38*47,2))))</f>
        <v>Falla</v>
      </c>
      <c r="CF21" s="75" t="str" cm="1">
        <f t="array" aca="1" ref="CF21" ca="1">IF($B21="","",IF(ISBLANK(INDIRECT("R9.Web!D"&amp;SUM(18,38*48,2))),"",INDIRECT("R9.Web!D"&amp;SUM(18,38*48,2))))</f>
        <v>N/A</v>
      </c>
      <c r="CG21" s="75" t="str" cm="1">
        <f t="array" aca="1" ref="CG21" ca="1">IF($B21="","",IF(ISBLANK(INDIRECT("R9.Web!D"&amp;SUM(18,38*49,2))),"",INDIRECT("R9.Web!D"&amp;SUM(18,38*49,2))))</f>
        <v>Falla</v>
      </c>
      <c r="CH21" s="75" t="str" cm="1">
        <f t="array" aca="1" ref="CH21" ca="1">IF($B21="","",IF(ISBLANK(INDIRECT("R11.Software!D"&amp;SUM(18,38*0,2))),"",INDIRECT("R11.Software!D"&amp;SUM(18,38*0,2))))</f>
        <v>Falla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N/A</v>
      </c>
      <c r="CO21" s="75" t="str" cm="1">
        <f t="array" aca="1" ref="CO21" ca="1">IF($B21="","",IF(ISBLANK(INDIRECT("R12.ServiciosApoyo!D"&amp;SUM(18,38*1,2))),"",INDIRECT("R12.ServiciosApoyo!D"&amp;SUM(18,38*1,2))))</f>
        <v>N/A</v>
      </c>
      <c r="CP21" s="75" t="str" cm="1">
        <f t="array" aca="1" ref="CP21" ca="1">IF($B21="","",IF(ISBLANK(INDIRECT("R12.ServiciosApoyo!D"&amp;SUM(18,38*2,2))),"",INDIRECT("R12.ServiciosApoyo!D"&amp;SUM(18,38*2,2))))</f>
        <v>N/A</v>
      </c>
      <c r="CQ21" s="75" t="str" cm="1">
        <f t="array" aca="1" ref="CQ21" ca="1">IF($B21="","",IF(ISBLANK(INDIRECT("R12.ServiciosApoyo!D"&amp;SUM(18,38*3,2))),"",INDIRECT("R12.ServiciosApoyo!D"&amp;SUM(18,38*3,2))))</f>
        <v>N/A</v>
      </c>
      <c r="CR21" s="75" t="str" cm="1">
        <f t="array" aca="1" ref="CR21" ca="1">IF($B21="","",IF(ISBLANK(INDIRECT("R12.ServiciosApoyo!D"&amp;SUM(18,38*4,2))),"",INDIRECT("R12.ServiciosApoyo!D"&amp;SUM(18,38*4,2))))</f>
        <v>N/A</v>
      </c>
      <c r="CU21" s="76"/>
    </row>
    <row r="22" spans="2:100" ht="20.5">
      <c r="B22" s="39" cm="1">
        <f t="array" ref="B22">IFERROR(INDEX('03.Muestra'!$B$8:$B$42,SMALL(IF("Página Web"='03.Muestra'!$D$8:$D$42,ROW('03.Muestra'!$B$8:$B$42)-MIN(ROW('03.Muestra'!$D$8:$D$42))+1,""),ROW()-19)),"")</f>
        <v>3</v>
      </c>
      <c r="C22" s="73" t="str" cm="1">
        <f t="array" ref="C22">IFERROR(INDEX('03.Muestra'!$C$8:$C$42,SMALL(IF("Página Web"='03.Muestra'!$D$8:$D$42,ROW('03.Muestra'!$C$8:$C$42)-MIN(ROW('03.Muestra'!$D$8:$D$42))+1,""),ROW()-19)),"")</f>
        <v>Normativa electoral</v>
      </c>
      <c r="D22" s="74" t="str" cm="1">
        <f t="array" ref="D22">IFERROR(INDEX('03.Muestra'!$F$8:$F$42,SMALL(IF("Página Web"='03.Muestra'!$D$8:$D$42,ROW('03.Muestra'!$F$8:$F$42)-MIN(ROW('03.Muestra'!$D$8:$D$42))+1,""),ROW()-19)),"")</f>
        <v>https://elecciones.comunidad.madrid/es/informacion-electoral/normativa-electoral</v>
      </c>
      <c r="E22" s="75" t="str" cm="1">
        <f t="array" aca="1" ref="E22" ca="1">IF($B22="","",IF(ISBLANK(INDIRECT("R5.Genéricos!D"&amp;SUM(18,38*0,3))),"",INDIRECT("R5.Genéricos!D"&amp;SUM(18,38*0,3))))</f>
        <v>Falla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Pasa</v>
      </c>
      <c r="AK22" s="75" t="str" cm="1">
        <f t="array" aca="1" ref="AK22" ca="1">IF($B22="","",IF(ISBLANK(INDIRECT("R9.Web!D"&amp;SUM(18,38*1,3))),"",INDIRECT("R9.Web!D"&amp;SUM(18,38*1,3))))</f>
        <v>N/A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Falla</v>
      </c>
      <c r="AP22" s="75" t="str" cm="1">
        <f t="array" aca="1" ref="AP22" ca="1">IF($B22="","",IF(ISBLANK(INDIRECT("R9.Web!D"&amp;SUM(18,38*6,3))),"",INDIRECT("R9.Web!D"&amp;SUM(18,38*6,3))))</f>
        <v>Falla</v>
      </c>
      <c r="AQ22" s="75" t="str" cm="1">
        <f t="array" aca="1" ref="AQ22" ca="1">IF($B22="","",IF(ISBLANK(INDIRECT("R9.Web!D"&amp;SUM(18,38*7,3))),"",INDIRECT("R9.Web!D"&amp;SUM(18,38*7,3))))</f>
        <v>Falla</v>
      </c>
      <c r="AR22" s="75" t="str" cm="1">
        <f t="array" aca="1" ref="AR22" ca="1">IF($B22="","",IF(ISBLANK(INDIRECT("R9.Web!D"&amp;SUM(18,38*8,3))),"",INDIRECT("R9.Web!D"&amp;SUM(18,38*8,3))))</f>
        <v>Falla</v>
      </c>
      <c r="AS22" s="75" t="str" cm="1">
        <f t="array" aca="1" ref="AS22" ca="1">IF($B22="","",IF(ISBLANK(INDIRECT("R9.Web!D"&amp;SUM(18,38*9,3))),"",INDIRECT("R9.Web!D"&amp;SUM(18,38*9,3))))</f>
        <v>N/A</v>
      </c>
      <c r="AT22" s="75" t="str" cm="1">
        <f t="array" aca="1" ref="AT22" ca="1">IF($B22="","",IF(ISBLANK(INDIRECT("R9.Web!D"&amp;SUM(18,38*10,3))),"",INDIRECT("R9.Web!D"&amp;SUM(18,38*10,3))))</f>
        <v>Pasa</v>
      </c>
      <c r="AU22" s="75" t="str" cm="1">
        <f t="array" aca="1" ref="AU22" ca="1">IF($B22="","",IF(ISBLANK(INDIRECT("R9.Web!D"&amp;SUM(18,38*11,3))),"",INDIRECT("R9.Web!D"&amp;SUM(18,38*11,3))))</f>
        <v>N/A</v>
      </c>
      <c r="AV22" s="75" t="str" cm="1">
        <f t="array" aca="1" ref="AV22" ca="1">IF($B22="","",IF(ISBLANK(INDIRECT("R9.Web!D"&amp;SUM(18,38*12,3))),"",INDIRECT("R9.Web!D"&amp;SUM(18,38*12,3))))</f>
        <v>Pasa</v>
      </c>
      <c r="AW22" s="75" t="str" cm="1">
        <f t="array" aca="1" ref="AW22" ca="1">IF($B22="","",IF(ISBLANK(INDIRECT("R9.Web!D"&amp;SUM(18,38*13,3))),"",INDIRECT("R9.Web!D"&amp;SUM(18,38*13,3))))</f>
        <v>Falla</v>
      </c>
      <c r="AX22" s="75" t="str" cm="1">
        <f t="array" aca="1" ref="AX22" ca="1">IF($B22="","",IF(ISBLANK(INDIRECT("R9.Web!D"&amp;SUM(18,38*14,3))),"",INDIRECT("R9.Web!D"&amp;SUM(18,38*14,3))))</f>
        <v>N/A</v>
      </c>
      <c r="AY22" s="75" t="str" cm="1">
        <f t="array" aca="1" ref="AY22" ca="1">IF($B22="","",IF(ISBLANK(INDIRECT("R9.Web!D"&amp;SUM(18,38*15,3))),"",INDIRECT("R9.Web!D"&amp;SUM(18,38*15,3))))</f>
        <v>Falla</v>
      </c>
      <c r="AZ22" s="75" t="str" cm="1">
        <f t="array" aca="1" ref="AZ22" ca="1">IF($B22="","",IF(ISBLANK(INDIRECT("R9.Web!D"&amp;SUM(18,38*16,3))),"",INDIRECT("R9.Web!D"&amp;SUM(18,38*16,3))))</f>
        <v>Falla</v>
      </c>
      <c r="BA22" s="75" t="str" cm="1">
        <f t="array" aca="1" ref="BA22" ca="1">IF($B22="","",IF(ISBLANK(INDIRECT("R9.Web!D"&amp;SUM(18,38*17,3))),"",INDIRECT("R9.Web!D"&amp;SUM(18,38*17,3))))</f>
        <v>Pasa</v>
      </c>
      <c r="BB22" s="75" t="str" cm="1">
        <f t="array" aca="1" ref="BB22" ca="1">IF($B22="","",IF(ISBLANK(INDIRECT("R9.Web!D"&amp;SUM(18,38*18,3))),"",INDIRECT("R9.Web!D"&amp;SUM(18,38*18,3))))</f>
        <v>Falla</v>
      </c>
      <c r="BC22" s="75" t="str" cm="1">
        <f t="array" aca="1" ref="BC22" ca="1">IF($B22="","",IF(ISBLANK(INDIRECT("R9.Web!D"&amp;SUM(18,38*19,3))),"",INDIRECT("R9.Web!D"&amp;SUM(18,38*19,3))))</f>
        <v>Falla</v>
      </c>
      <c r="BD22" s="75" t="str" cm="1">
        <f t="array" aca="1" ref="BD22" ca="1">IF($B22="","",IF(ISBLANK(INDIRECT("R9.Web!D"&amp;SUM(18,38*20,3))),"",INDIRECT("R9.Web!D"&amp;SUM(18,38*20,3))))</f>
        <v>Pasa</v>
      </c>
      <c r="BE22" s="75" t="str" cm="1">
        <f t="array" aca="1" ref="BE22" ca="1">IF($B22="","",IF(ISBLANK(INDIRECT("R9.Web!D"&amp;SUM(18,38*21,3))),"",INDIRECT("R9.Web!D"&amp;SUM(18,38*21,3))))</f>
        <v>N/A</v>
      </c>
      <c r="BF22" s="75" t="str" cm="1">
        <f t="array" aca="1" ref="BF22" ca="1">IF($B22="","",IF(ISBLANK(INDIRECT("R9.Web!D"&amp;SUM(18,38*22,3))),"",INDIRECT("R9.Web!D"&amp;SUM(18,38*22,3))))</f>
        <v>Pasa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Pasa</v>
      </c>
      <c r="BJ22" s="75" t="str" cm="1">
        <f t="array" aca="1" ref="BJ22" ca="1">IF($B22="","",IF(ISBLANK(INDIRECT("R9.Web!D"&amp;SUM(18,38*26,3))),"",INDIRECT("R9.Web!D"&amp;SUM(18,38*26,3))))</f>
        <v>Pasa</v>
      </c>
      <c r="BK22" s="75" t="str" cm="1">
        <f t="array" aca="1" ref="BK22" ca="1">IF($B22="","",IF(ISBLANK(INDIRECT("R9.Web!D"&amp;SUM(18,38*27,3))),"",INDIRECT("R9.Web!D"&amp;SUM(18,38*27,3))))</f>
        <v>Falla</v>
      </c>
      <c r="BL22" s="75" t="str" cm="1">
        <f t="array" aca="1" ref="BL22" ca="1">IF($B22="","",IF(ISBLANK(INDIRECT("R9.Web!D"&amp;SUM(18,38*28,3))),"",INDIRECT("R9.Web!D"&amp;SUM(18,38*28,3))))</f>
        <v>Falla</v>
      </c>
      <c r="BM22" s="75" t="str" cm="1">
        <f t="array" aca="1" ref="BM22" ca="1">IF($B22="","",IF(ISBLANK(INDIRECT("R9.Web!D"&amp;SUM(18,38*29,3))),"",INDIRECT("R9.Web!D"&amp;SUM(18,38*29,3))))</f>
        <v>Pasa</v>
      </c>
      <c r="BN22" s="75" t="str" cm="1">
        <f t="array" aca="1" ref="BN22" ca="1">IF($B22="","",IF(ISBLANK(INDIRECT("R9.Web!D"&amp;SUM(18,38*30,3))),"",INDIRECT("R9.Web!D"&amp;SUM(18,38*30,3))))</f>
        <v>Pasa</v>
      </c>
      <c r="BO22" s="75" t="str" cm="1">
        <f t="array" aca="1" ref="BO22" ca="1">IF($B22="","",IF(ISBLANK(INDIRECT("R9.Web!D"&amp;SUM(18,38*31,3))),"",INDIRECT("R9.Web!D"&amp;SUM(18,38*31,3))))</f>
        <v>Falla</v>
      </c>
      <c r="BP22" s="75" t="str" cm="1">
        <f t="array" aca="1" ref="BP22" ca="1">IF($B22="","",IF(ISBLANK(INDIRECT("R9.Web!D"&amp;SUM(18,38*32,3))),"",INDIRECT("R9.Web!D"&amp;SUM(18,38*32,3))))</f>
        <v>N/A</v>
      </c>
      <c r="BQ22" s="75" t="str" cm="1">
        <f t="array" aca="1" ref="BQ22" ca="1">IF($B22="","",IF(ISBLANK(INDIRECT("R9.Web!D"&amp;SUM(18,38*33,3))),"",INDIRECT("R9.Web!D"&amp;SUM(18,38*33,3))))</f>
        <v>Pasa</v>
      </c>
      <c r="BR22" s="75" t="str" cm="1">
        <f t="array" aca="1" ref="BR22" ca="1">IF($B22="","",IF(ISBLANK(INDIRECT("R9.Web!D"&amp;SUM(18,38*34,3))),"",INDIRECT("R9.Web!D"&amp;SUM(18,38*34,3))))</f>
        <v>Falla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N/A</v>
      </c>
      <c r="BV22" s="75" t="str" cm="1">
        <f t="array" aca="1" ref="BV22" ca="1">IF($B22="","",IF(ISBLANK(INDIRECT("R9.Web!D"&amp;SUM(18,38*38,3))),"",INDIRECT("R9.Web!D"&amp;SUM(18,38*38,3))))</f>
        <v>Pasa</v>
      </c>
      <c r="BW22" s="75" t="str" cm="1">
        <f t="array" aca="1" ref="BW22" ca="1">IF($B22="","",IF(ISBLANK(INDIRECT("R9.Web!D"&amp;SUM(18,38*39,3))),"",INDIRECT("R9.Web!D"&amp;SUM(18,38*39,3))))</f>
        <v>Pasa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N/A</v>
      </c>
      <c r="CA22" s="75" t="str" cm="1">
        <f t="array" aca="1" ref="CA22" ca="1">IF($B22="","",IF(ISBLANK(INDIRECT("R9.Web!D"&amp;SUM(18,38*43,3))),"",INDIRECT("R9.Web!D"&amp;SUM(18,38*43,3))))</f>
        <v>Pasa</v>
      </c>
      <c r="CB22" s="75" t="str" cm="1">
        <f t="array" aca="1" ref="CB22" ca="1">IF($B22="","",IF(ISBLANK(INDIRECT("R9.Web!D"&amp;SUM(18,38*44,3))),"",INDIRECT("R9.Web!D"&amp;SUM(18,38*44,3))))</f>
        <v>N/A</v>
      </c>
      <c r="CC22" s="75" t="str" cm="1">
        <f t="array" aca="1" ref="CC22" ca="1">IF($B22="","",IF(ISBLANK(INDIRECT("R9.Web!D"&amp;SUM(18,38*45,3))),"",INDIRECT("R9.Web!D"&amp;SUM(18,38*45,3))))</f>
        <v>N/A</v>
      </c>
      <c r="CD22" s="75" t="str" cm="1">
        <f t="array" aca="1" ref="CD22" ca="1">IF($B22="","",IF(ISBLANK(INDIRECT("R9.Web!D"&amp;SUM(18,38*46,3))),"",INDIRECT("R9.Web!D"&amp;SUM(18,38*46,3))))</f>
        <v>N/A</v>
      </c>
      <c r="CE22" s="75" t="str" cm="1">
        <f t="array" aca="1" ref="CE22" ca="1">IF($B22="","",IF(ISBLANK(INDIRECT("R9.Web!D"&amp;SUM(18,38*47,3))),"",INDIRECT("R9.Web!D"&amp;SUM(18,38*47,3))))</f>
        <v>Pasa</v>
      </c>
      <c r="CF22" s="75" t="str" cm="1">
        <f t="array" aca="1" ref="CF22" ca="1">IF($B22="","",IF(ISBLANK(INDIRECT("R9.Web!D"&amp;SUM(18,38*48,3))),"",INDIRECT("R9.Web!D"&amp;SUM(18,38*48,3))))</f>
        <v>N/A</v>
      </c>
      <c r="CG22" s="75" t="str" cm="1">
        <f t="array" aca="1" ref="CG22" ca="1">IF($B22="","",IF(ISBLANK(INDIRECT("R9.Web!D"&amp;SUM(18,38*49,3))),"",INDIRECT("R9.Web!D"&amp;SUM(18,38*49,3))))</f>
        <v>Falla</v>
      </c>
      <c r="CH22" s="75" t="str" cm="1">
        <f t="array" aca="1" ref="CH22" ca="1">IF($B22="","",IF(ISBLANK(INDIRECT("R11.Software!D"&amp;SUM(18,38*0,3))),"",INDIRECT("R11.Software!D"&amp;SUM(18,38*0,3))))</f>
        <v>Falla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N/A</v>
      </c>
      <c r="CO22" s="75" t="str" cm="1">
        <f t="array" aca="1" ref="CO22" ca="1">IF($B22="","",IF(ISBLANK(INDIRECT("R12.ServiciosApoyo!D"&amp;SUM(18,38*1,3))),"",INDIRECT("R12.ServiciosApoyo!D"&amp;SUM(18,38*1,3))))</f>
        <v>N/A</v>
      </c>
      <c r="CP22" s="75" t="str" cm="1">
        <f t="array" aca="1" ref="CP22" ca="1">IF($B22="","",IF(ISBLANK(INDIRECT("R12.ServiciosApoyo!D"&amp;SUM(18,38*2,3))),"",INDIRECT("R12.ServiciosApoyo!D"&amp;SUM(18,38*2,3))))</f>
        <v>N/A</v>
      </c>
      <c r="CQ22" s="75" t="str" cm="1">
        <f t="array" aca="1" ref="CQ22" ca="1">IF($B22="","",IF(ISBLANK(INDIRECT("R12.ServiciosApoyo!D"&amp;SUM(18,38*3,3))),"",INDIRECT("R12.ServiciosApoyo!D"&amp;SUM(18,38*3,3))))</f>
        <v>N/A</v>
      </c>
      <c r="CR22" s="75" t="str" cm="1">
        <f t="array" aca="1" ref="CR22" ca="1">IF($B22="","",IF(ISBLANK(INDIRECT("R12.ServiciosApoyo!D"&amp;SUM(18,38*4,3))),"",INDIRECT("R12.ServiciosApoyo!D"&amp;SUM(18,38*4,3))))</f>
        <v>N/A</v>
      </c>
      <c r="CU22" s="76"/>
    </row>
    <row r="23" spans="2:100" ht="20.5">
      <c r="B23" s="39" cm="1">
        <f t="array" ref="B23">IFERROR(INDEX('03.Muestra'!$B$8:$B$42,SMALL(IF("Página Web"='03.Muestra'!$D$8:$D$42,ROW('03.Muestra'!$B$8:$B$42)-MIN(ROW('03.Muestra'!$D$8:$D$42))+1,""),ROW()-19)),"")</f>
        <v>4</v>
      </c>
      <c r="C23" s="73" t="str" cm="1">
        <f t="array" ref="C23">IFERROR(INDEX('03.Muestra'!$C$8:$C$42,SMALL(IF("Página Web"='03.Muestra'!$D$8:$D$42,ROW('03.Muestra'!$C$8:$C$42)-MIN(ROW('03.Muestra'!$D$8:$D$42))+1,""),ROW()-19)),"")</f>
        <v>Calendario electoral</v>
      </c>
      <c r="D23" s="74" t="str" cm="1">
        <f t="array" ref="D23">IFERROR(INDEX('03.Muestra'!$F$8:$F$42,SMALL(IF("Página Web"='03.Muestra'!$D$8:$D$42,ROW('03.Muestra'!$F$8:$F$42)-MIN(ROW('03.Muestra'!$D$8:$D$42))+1,""),ROW()-19)),"")</f>
        <v>https://elecciones.comunidad.madrid/es/informacion-electoral/calendario-electoral</v>
      </c>
      <c r="E23" s="75" t="str" cm="1">
        <f t="array" aca="1" ref="E23" ca="1">IF($B23="","",IF(ISBLANK(INDIRECT("R5.Genéricos!D"&amp;SUM(18,38*0,4))),"",INDIRECT("R5.Genéricos!D"&amp;SUM(18,38*0,4))))</f>
        <v>Falla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Pasa</v>
      </c>
      <c r="AK23" s="75" t="str" cm="1">
        <f t="array" aca="1" ref="AK23" ca="1">IF($B23="","",IF(ISBLANK(INDIRECT("R9.Web!D"&amp;SUM(18,38*1,4))),"",INDIRECT("R9.Web!D"&amp;SUM(18,38*1,4))))</f>
        <v>N/A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Falla</v>
      </c>
      <c r="AP23" s="75" t="str" cm="1">
        <f t="array" aca="1" ref="AP23" ca="1">IF($B23="","",IF(ISBLANK(INDIRECT("R9.Web!D"&amp;SUM(18,38*6,4))),"",INDIRECT("R9.Web!D"&amp;SUM(18,38*6,4))))</f>
        <v>Falla</v>
      </c>
      <c r="AQ23" s="75" t="str" cm="1">
        <f t="array" aca="1" ref="AQ23" ca="1">IF($B23="","",IF(ISBLANK(INDIRECT("R9.Web!D"&amp;SUM(18,38*7,4))),"",INDIRECT("R9.Web!D"&amp;SUM(18,38*7,4))))</f>
        <v>Falla</v>
      </c>
      <c r="AR23" s="75" t="str" cm="1">
        <f t="array" aca="1" ref="AR23" ca="1">IF($B23="","",IF(ISBLANK(INDIRECT("R9.Web!D"&amp;SUM(18,38*8,4))),"",INDIRECT("R9.Web!D"&amp;SUM(18,38*8,4))))</f>
        <v>Falla</v>
      </c>
      <c r="AS23" s="75" t="str" cm="1">
        <f t="array" aca="1" ref="AS23" ca="1">IF($B23="","",IF(ISBLANK(INDIRECT("R9.Web!D"&amp;SUM(18,38*9,4))),"",INDIRECT("R9.Web!D"&amp;SUM(18,38*9,4))))</f>
        <v>N/A</v>
      </c>
      <c r="AT23" s="75" t="str" cm="1">
        <f t="array" aca="1" ref="AT23" ca="1">IF($B23="","",IF(ISBLANK(INDIRECT("R9.Web!D"&amp;SUM(18,38*10,4))),"",INDIRECT("R9.Web!D"&amp;SUM(18,38*10,4))))</f>
        <v>Pasa</v>
      </c>
      <c r="AU23" s="75" t="str" cm="1">
        <f t="array" aca="1" ref="AU23" ca="1">IF($B23="","",IF(ISBLANK(INDIRECT("R9.Web!D"&amp;SUM(18,38*11,4))),"",INDIRECT("R9.Web!D"&amp;SUM(18,38*11,4))))</f>
        <v>N/A</v>
      </c>
      <c r="AV23" s="75" t="str" cm="1">
        <f t="array" aca="1" ref="AV23" ca="1">IF($B23="","",IF(ISBLANK(INDIRECT("R9.Web!D"&amp;SUM(18,38*12,4))),"",INDIRECT("R9.Web!D"&amp;SUM(18,38*12,4))))</f>
        <v>Pasa</v>
      </c>
      <c r="AW23" s="75" t="str" cm="1">
        <f t="array" aca="1" ref="AW23" ca="1">IF($B23="","",IF(ISBLANK(INDIRECT("R9.Web!D"&amp;SUM(18,38*13,4))),"",INDIRECT("R9.Web!D"&amp;SUM(18,38*13,4))))</f>
        <v>Falla</v>
      </c>
      <c r="AX23" s="75" t="str" cm="1">
        <f t="array" aca="1" ref="AX23" ca="1">IF($B23="","",IF(ISBLANK(INDIRECT("R9.Web!D"&amp;SUM(18,38*14,4))),"",INDIRECT("R9.Web!D"&amp;SUM(18,38*14,4))))</f>
        <v>N/A</v>
      </c>
      <c r="AY23" s="75" t="str" cm="1">
        <f t="array" aca="1" ref="AY23" ca="1">IF($B23="","",IF(ISBLANK(INDIRECT("R9.Web!D"&amp;SUM(18,38*15,4))),"",INDIRECT("R9.Web!D"&amp;SUM(18,38*15,4))))</f>
        <v>Falla</v>
      </c>
      <c r="AZ23" s="75" t="str" cm="1">
        <f t="array" aca="1" ref="AZ23" ca="1">IF($B23="","",IF(ISBLANK(INDIRECT("R9.Web!D"&amp;SUM(18,38*16,4))),"",INDIRECT("R9.Web!D"&amp;SUM(18,38*16,4))))</f>
        <v>Falla</v>
      </c>
      <c r="BA23" s="75" t="str" cm="1">
        <f t="array" aca="1" ref="BA23" ca="1">IF($B23="","",IF(ISBLANK(INDIRECT("R9.Web!D"&amp;SUM(18,38*17,4))),"",INDIRECT("R9.Web!D"&amp;SUM(18,38*17,4))))</f>
        <v>Pasa</v>
      </c>
      <c r="BB23" s="75" t="str" cm="1">
        <f t="array" aca="1" ref="BB23" ca="1">IF($B23="","",IF(ISBLANK(INDIRECT("R9.Web!D"&amp;SUM(18,38*18,4))),"",INDIRECT("R9.Web!D"&amp;SUM(18,38*18,4))))</f>
        <v>Falla</v>
      </c>
      <c r="BC23" s="75" t="str" cm="1">
        <f t="array" aca="1" ref="BC23" ca="1">IF($B23="","",IF(ISBLANK(INDIRECT("R9.Web!D"&amp;SUM(18,38*19,4))),"",INDIRECT("R9.Web!D"&amp;SUM(18,38*19,4))))</f>
        <v>Falla</v>
      </c>
      <c r="BD23" s="75" t="str" cm="1">
        <f t="array" aca="1" ref="BD23" ca="1">IF($B23="","",IF(ISBLANK(INDIRECT("R9.Web!D"&amp;SUM(18,38*20,4))),"",INDIRECT("R9.Web!D"&amp;SUM(18,38*20,4))))</f>
        <v>Pasa</v>
      </c>
      <c r="BE23" s="75" t="str" cm="1">
        <f t="array" aca="1" ref="BE23" ca="1">IF($B23="","",IF(ISBLANK(INDIRECT("R9.Web!D"&amp;SUM(18,38*21,4))),"",INDIRECT("R9.Web!D"&amp;SUM(18,38*21,4))))</f>
        <v>N/A</v>
      </c>
      <c r="BF23" s="75" t="str" cm="1">
        <f t="array" aca="1" ref="BF23" ca="1">IF($B23="","",IF(ISBLANK(INDIRECT("R9.Web!D"&amp;SUM(18,38*22,4))),"",INDIRECT("R9.Web!D"&amp;SUM(18,38*22,4))))</f>
        <v>Pasa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Pasa</v>
      </c>
      <c r="BJ23" s="75" t="str" cm="1">
        <f t="array" aca="1" ref="BJ23" ca="1">IF($B23="","",IF(ISBLANK(INDIRECT("R9.Web!D"&amp;SUM(18,38*26,4))),"",INDIRECT("R9.Web!D"&amp;SUM(18,38*26,4))))</f>
        <v>Pasa</v>
      </c>
      <c r="BK23" s="75" t="str" cm="1">
        <f t="array" aca="1" ref="BK23" ca="1">IF($B23="","",IF(ISBLANK(INDIRECT("R9.Web!D"&amp;SUM(18,38*27,4))),"",INDIRECT("R9.Web!D"&amp;SUM(18,38*27,4))))</f>
        <v>Falla</v>
      </c>
      <c r="BL23" s="75" t="str" cm="1">
        <f t="array" aca="1" ref="BL23" ca="1">IF($B23="","",IF(ISBLANK(INDIRECT("R9.Web!D"&amp;SUM(18,38*28,4))),"",INDIRECT("R9.Web!D"&amp;SUM(18,38*28,4))))</f>
        <v>Falla</v>
      </c>
      <c r="BM23" s="75" t="str" cm="1">
        <f t="array" aca="1" ref="BM23" ca="1">IF($B23="","",IF(ISBLANK(INDIRECT("R9.Web!D"&amp;SUM(18,38*29,4))),"",INDIRECT("R9.Web!D"&amp;SUM(18,38*29,4))))</f>
        <v>Pasa</v>
      </c>
      <c r="BN23" s="75" t="str" cm="1">
        <f t="array" aca="1" ref="BN23" ca="1">IF($B23="","",IF(ISBLANK(INDIRECT("R9.Web!D"&amp;SUM(18,38*30,4))),"",INDIRECT("R9.Web!D"&amp;SUM(18,38*30,4))))</f>
        <v>Pasa</v>
      </c>
      <c r="BO23" s="75" t="str" cm="1">
        <f t="array" aca="1" ref="BO23" ca="1">IF($B23="","",IF(ISBLANK(INDIRECT("R9.Web!D"&amp;SUM(18,38*31,4))),"",INDIRECT("R9.Web!D"&amp;SUM(18,38*31,4))))</f>
        <v>Falla</v>
      </c>
      <c r="BP23" s="75" t="str" cm="1">
        <f t="array" aca="1" ref="BP23" ca="1">IF($B23="","",IF(ISBLANK(INDIRECT("R9.Web!D"&amp;SUM(18,38*32,4))),"",INDIRECT("R9.Web!D"&amp;SUM(18,38*32,4))))</f>
        <v>N/A</v>
      </c>
      <c r="BQ23" s="75" t="str" cm="1">
        <f t="array" aca="1" ref="BQ23" ca="1">IF($B23="","",IF(ISBLANK(INDIRECT("R9.Web!D"&amp;SUM(18,38*33,4))),"",INDIRECT("R9.Web!D"&amp;SUM(18,38*33,4))))</f>
        <v>Pasa</v>
      </c>
      <c r="BR23" s="75" t="str" cm="1">
        <f t="array" aca="1" ref="BR23" ca="1">IF($B23="","",IF(ISBLANK(INDIRECT("R9.Web!D"&amp;SUM(18,38*34,4))),"",INDIRECT("R9.Web!D"&amp;SUM(18,38*34,4))))</f>
        <v>Falla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N/A</v>
      </c>
      <c r="BV23" s="75" t="str" cm="1">
        <f t="array" aca="1" ref="BV23" ca="1">IF($B23="","",IF(ISBLANK(INDIRECT("R9.Web!D"&amp;SUM(18,38*38,4))),"",INDIRECT("R9.Web!D"&amp;SUM(18,38*38,4))))</f>
        <v>Pasa</v>
      </c>
      <c r="BW23" s="75" t="str" cm="1">
        <f t="array" aca="1" ref="BW23" ca="1">IF($B23="","",IF(ISBLANK(INDIRECT("R9.Web!D"&amp;SUM(18,38*39,4))),"",INDIRECT("R9.Web!D"&amp;SUM(18,38*39,4))))</f>
        <v>Pasa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Pasa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N/A</v>
      </c>
      <c r="CE23" s="75" t="str" cm="1">
        <f t="array" aca="1" ref="CE23" ca="1">IF($B23="","",IF(ISBLANK(INDIRECT("R9.Web!D"&amp;SUM(18,38*47,4))),"",INDIRECT("R9.Web!D"&amp;SUM(18,38*47,4))))</f>
        <v>Pasa</v>
      </c>
      <c r="CF23" s="75" t="str" cm="1">
        <f t="array" aca="1" ref="CF23" ca="1">IF($B23="","",IF(ISBLANK(INDIRECT("R9.Web!D"&amp;SUM(18,38*48,4))),"",INDIRECT("R9.Web!D"&amp;SUM(18,38*48,4))))</f>
        <v>N/A</v>
      </c>
      <c r="CG23" s="75" t="str" cm="1">
        <f t="array" aca="1" ref="CG23" ca="1">IF($B23="","",IF(ISBLANK(INDIRECT("R9.Web!D"&amp;SUM(18,38*49,4))),"",INDIRECT("R9.Web!D"&amp;SUM(18,38*49,4))))</f>
        <v>Falla</v>
      </c>
      <c r="CH23" s="75" t="str" cm="1">
        <f t="array" aca="1" ref="CH23" ca="1">IF($B23="","",IF(ISBLANK(INDIRECT("R11.Software!D"&amp;SUM(18,38*0,4))),"",INDIRECT("R11.Software!D"&amp;SUM(18,38*0,4))))</f>
        <v>Falla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N/A</v>
      </c>
      <c r="CO23" s="75" t="str" cm="1">
        <f t="array" aca="1" ref="CO23" ca="1">IF($B23="","",IF(ISBLANK(INDIRECT("R12.ServiciosApoyo!D"&amp;SUM(18,38*1,4))),"",INDIRECT("R12.ServiciosApoyo!D"&amp;SUM(18,38*1,4))))</f>
        <v>N/A</v>
      </c>
      <c r="CP23" s="75" t="str" cm="1">
        <f t="array" aca="1" ref="CP23" ca="1">IF($B23="","",IF(ISBLANK(INDIRECT("R12.ServiciosApoyo!D"&amp;SUM(18,38*2,4))),"",INDIRECT("R12.ServiciosApoyo!D"&amp;SUM(18,38*2,4))))</f>
        <v>N/A</v>
      </c>
      <c r="CQ23" s="75" t="str" cm="1">
        <f t="array" aca="1" ref="CQ23" ca="1">IF($B23="","",IF(ISBLANK(INDIRECT("R12.ServiciosApoyo!D"&amp;SUM(18,38*3,4))),"",INDIRECT("R12.ServiciosApoyo!D"&amp;SUM(18,38*3,4))))</f>
        <v>N/A</v>
      </c>
      <c r="CR23" s="75" t="str" cm="1">
        <f t="array" aca="1" ref="CR23" ca="1">IF($B23="","",IF(ISBLANK(INDIRECT("R12.ServiciosApoyo!D"&amp;SUM(18,38*4,4))),"",INDIRECT("R12.ServiciosApoyo!D"&amp;SUM(18,38*4,4))))</f>
        <v>N/A</v>
      </c>
      <c r="CU23" s="76"/>
    </row>
    <row r="24" spans="2:100" ht="20.5">
      <c r="B24" s="39" cm="1">
        <f t="array" ref="B24">IFERROR(INDEX('03.Muestra'!$B$8:$B$42,SMALL(IF("Página Web"='03.Muestra'!$D$8:$D$42,ROW('03.Muestra'!$B$8:$B$42)-MIN(ROW('03.Muestra'!$D$8:$D$42))+1,""),ROW()-19)),"")</f>
        <v>5</v>
      </c>
      <c r="C24" s="73" t="str" cm="1">
        <f t="array" ref="C24">IFERROR(INDEX('03.Muestra'!$C$8:$C$42,SMALL(IF("Página Web"='03.Muestra'!$D$8:$D$42,ROW('03.Muestra'!$C$8:$C$42)-MIN(ROW('03.Muestra'!$D$8:$D$42))+1,""),ROW()-19)),"")</f>
        <v>Direcciones y teléfonos</v>
      </c>
      <c r="D24" s="74" t="str" cm="1">
        <f t="array" ref="D24">IFERROR(INDEX('03.Muestra'!$F$8:$F$42,SMALL(IF("Página Web"='03.Muestra'!$D$8:$D$42,ROW('03.Muestra'!$F$8:$F$42)-MIN(ROW('03.Muestra'!$D$8:$D$42))+1,""),ROW()-19)),"")</f>
        <v>https://elecciones.comunidad.madrid/es/juntas-electorales/direcciones-telefonos</v>
      </c>
      <c r="E24" s="75" t="str" cm="1">
        <f t="array" aca="1" ref="E24" ca="1">IF($B24="","",IF(ISBLANK(INDIRECT("R5.Genéricos!D"&amp;SUM(18,38*0,5))),"",INDIRECT("R5.Genéricos!D"&amp;SUM(18,38*0,5))))</f>
        <v>Falla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Pasa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Falla</v>
      </c>
      <c r="AP24" s="75" t="str" cm="1">
        <f t="array" aca="1" ref="AP24" ca="1">IF($B24="","",IF(ISBLANK(INDIRECT("R9.Web!D"&amp;SUM(18,38*6,5))),"",INDIRECT("R9.Web!D"&amp;SUM(18,38*6,5))))</f>
        <v>Falla</v>
      </c>
      <c r="AQ24" s="75" t="str" cm="1">
        <f t="array" aca="1" ref="AQ24" ca="1">IF($B24="","",IF(ISBLANK(INDIRECT("R9.Web!D"&amp;SUM(18,38*7,5))),"",INDIRECT("R9.Web!D"&amp;SUM(18,38*7,5))))</f>
        <v>Falla</v>
      </c>
      <c r="AR24" s="75" t="str" cm="1">
        <f t="array" aca="1" ref="AR24" ca="1">IF($B24="","",IF(ISBLANK(INDIRECT("R9.Web!D"&amp;SUM(18,38*8,5))),"",INDIRECT("R9.Web!D"&amp;SUM(18,38*8,5))))</f>
        <v>Falla</v>
      </c>
      <c r="AS24" s="75" t="str" cm="1">
        <f t="array" aca="1" ref="AS24" ca="1">IF($B24="","",IF(ISBLANK(INDIRECT("R9.Web!D"&amp;SUM(18,38*9,5))),"",INDIRECT("R9.Web!D"&amp;SUM(18,38*9,5))))</f>
        <v>N/A</v>
      </c>
      <c r="AT24" s="75" t="str" cm="1">
        <f t="array" aca="1" ref="AT24" ca="1">IF($B24="","",IF(ISBLANK(INDIRECT("R9.Web!D"&amp;SUM(18,38*10,5))),"",INDIRECT("R9.Web!D"&amp;SUM(18,38*10,5))))</f>
        <v>Pasa</v>
      </c>
      <c r="AU24" s="75" t="str" cm="1">
        <f t="array" aca="1" ref="AU24" ca="1">IF($B24="","",IF(ISBLANK(INDIRECT("R9.Web!D"&amp;SUM(18,38*11,5))),"",INDIRECT("R9.Web!D"&amp;SUM(18,38*11,5))))</f>
        <v>N/A</v>
      </c>
      <c r="AV24" s="75" t="str" cm="1">
        <f t="array" aca="1" ref="AV24" ca="1">IF($B24="","",IF(ISBLANK(INDIRECT("R9.Web!D"&amp;SUM(18,38*12,5))),"",INDIRECT("R9.Web!D"&amp;SUM(18,38*12,5))))</f>
        <v>Pasa</v>
      </c>
      <c r="AW24" s="75" t="str" cm="1">
        <f t="array" aca="1" ref="AW24" ca="1">IF($B24="","",IF(ISBLANK(INDIRECT("R9.Web!D"&amp;SUM(18,38*13,5))),"",INDIRECT("R9.Web!D"&amp;SUM(18,38*13,5))))</f>
        <v>Falla</v>
      </c>
      <c r="AX24" s="75" t="str" cm="1">
        <f t="array" aca="1" ref="AX24" ca="1">IF($B24="","",IF(ISBLANK(INDIRECT("R9.Web!D"&amp;SUM(18,38*14,5))),"",INDIRECT("R9.Web!D"&amp;SUM(18,38*14,5))))</f>
        <v>N/A</v>
      </c>
      <c r="AY24" s="75" t="str" cm="1">
        <f t="array" aca="1" ref="AY24" ca="1">IF($B24="","",IF(ISBLANK(INDIRECT("R9.Web!D"&amp;SUM(18,38*15,5))),"",INDIRECT("R9.Web!D"&amp;SUM(18,38*15,5))))</f>
        <v>Falla</v>
      </c>
      <c r="AZ24" s="75" t="str" cm="1">
        <f t="array" aca="1" ref="AZ24" ca="1">IF($B24="","",IF(ISBLANK(INDIRECT("R9.Web!D"&amp;SUM(18,38*16,5))),"",INDIRECT("R9.Web!D"&amp;SUM(18,38*16,5))))</f>
        <v>Falla</v>
      </c>
      <c r="BA24" s="75" t="str" cm="1">
        <f t="array" aca="1" ref="BA24" ca="1">IF($B24="","",IF(ISBLANK(INDIRECT("R9.Web!D"&amp;SUM(18,38*17,5))),"",INDIRECT("R9.Web!D"&amp;SUM(18,38*17,5))))</f>
        <v>Pasa</v>
      </c>
      <c r="BB24" s="75" t="str" cm="1">
        <f t="array" aca="1" ref="BB24" ca="1">IF($B24="","",IF(ISBLANK(INDIRECT("R9.Web!D"&amp;SUM(18,38*18,5))),"",INDIRECT("R9.Web!D"&amp;SUM(18,38*18,5))))</f>
        <v>Falla</v>
      </c>
      <c r="BC24" s="75" t="str" cm="1">
        <f t="array" aca="1" ref="BC24" ca="1">IF($B24="","",IF(ISBLANK(INDIRECT("R9.Web!D"&amp;SUM(18,38*19,5))),"",INDIRECT("R9.Web!D"&amp;SUM(18,38*19,5))))</f>
        <v>Falla</v>
      </c>
      <c r="BD24" s="75" t="str" cm="1">
        <f t="array" aca="1" ref="BD24" ca="1">IF($B24="","",IF(ISBLANK(INDIRECT("R9.Web!D"&amp;SUM(18,38*20,5))),"",INDIRECT("R9.Web!D"&amp;SUM(18,38*20,5))))</f>
        <v>Pasa</v>
      </c>
      <c r="BE24" s="75" t="str" cm="1">
        <f t="array" aca="1" ref="BE24" ca="1">IF($B24="","",IF(ISBLANK(INDIRECT("R9.Web!D"&amp;SUM(18,38*21,5))),"",INDIRECT("R9.Web!D"&amp;SUM(18,38*21,5))))</f>
        <v>N/A</v>
      </c>
      <c r="BF24" s="75" t="str" cm="1">
        <f t="array" aca="1" ref="BF24" ca="1">IF($B24="","",IF(ISBLANK(INDIRECT("R9.Web!D"&amp;SUM(18,38*22,5))),"",INDIRECT("R9.Web!D"&amp;SUM(18,38*22,5))))</f>
        <v>Pasa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Pasa</v>
      </c>
      <c r="BJ24" s="75" t="str" cm="1">
        <f t="array" aca="1" ref="BJ24" ca="1">IF($B24="","",IF(ISBLANK(INDIRECT("R9.Web!D"&amp;SUM(18,38*26,5))),"",INDIRECT("R9.Web!D"&amp;SUM(18,38*26,5))))</f>
        <v>Pasa</v>
      </c>
      <c r="BK24" s="75" t="str" cm="1">
        <f t="array" aca="1" ref="BK24" ca="1">IF($B24="","",IF(ISBLANK(INDIRECT("R9.Web!D"&amp;SUM(18,38*27,5))),"",INDIRECT("R9.Web!D"&amp;SUM(18,38*27,5))))</f>
        <v>Falla</v>
      </c>
      <c r="BL24" s="75" t="str" cm="1">
        <f t="array" aca="1" ref="BL24" ca="1">IF($B24="","",IF(ISBLANK(INDIRECT("R9.Web!D"&amp;SUM(18,38*28,5))),"",INDIRECT("R9.Web!D"&amp;SUM(18,38*28,5))))</f>
        <v>Falla</v>
      </c>
      <c r="BM24" s="75" t="str" cm="1">
        <f t="array" aca="1" ref="BM24" ca="1">IF($B24="","",IF(ISBLANK(INDIRECT("R9.Web!D"&amp;SUM(18,38*29,5))),"",INDIRECT("R9.Web!D"&amp;SUM(18,38*29,5))))</f>
        <v>Pasa</v>
      </c>
      <c r="BN24" s="75" t="str" cm="1">
        <f t="array" aca="1" ref="BN24" ca="1">IF($B24="","",IF(ISBLANK(INDIRECT("R9.Web!D"&amp;SUM(18,38*30,5))),"",INDIRECT("R9.Web!D"&amp;SUM(18,38*30,5))))</f>
        <v>Pasa</v>
      </c>
      <c r="BO24" s="75" t="str" cm="1">
        <f t="array" aca="1" ref="BO24" ca="1">IF($B24="","",IF(ISBLANK(INDIRECT("R9.Web!D"&amp;SUM(18,38*31,5))),"",INDIRECT("R9.Web!D"&amp;SUM(18,38*31,5))))</f>
        <v>Falla</v>
      </c>
      <c r="BP24" s="75" t="str" cm="1">
        <f t="array" aca="1" ref="BP24" ca="1">IF($B24="","",IF(ISBLANK(INDIRECT("R9.Web!D"&amp;SUM(18,38*32,5))),"",INDIRECT("R9.Web!D"&amp;SUM(18,38*32,5))))</f>
        <v>N/A</v>
      </c>
      <c r="BQ24" s="75" t="str" cm="1">
        <f t="array" aca="1" ref="BQ24" ca="1">IF($B24="","",IF(ISBLANK(INDIRECT("R9.Web!D"&amp;SUM(18,38*33,5))),"",INDIRECT("R9.Web!D"&amp;SUM(18,38*33,5))))</f>
        <v>Pasa</v>
      </c>
      <c r="BR24" s="75" t="str" cm="1">
        <f t="array" aca="1" ref="BR24" ca="1">IF($B24="","",IF(ISBLANK(INDIRECT("R9.Web!D"&amp;SUM(18,38*34,5))),"",INDIRECT("R9.Web!D"&amp;SUM(18,38*34,5))))</f>
        <v>Falla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N/A</v>
      </c>
      <c r="BV24" s="75" t="str" cm="1">
        <f t="array" aca="1" ref="BV24" ca="1">IF($B24="","",IF(ISBLANK(INDIRECT("R9.Web!D"&amp;SUM(18,38*38,5))),"",INDIRECT("R9.Web!D"&amp;SUM(18,38*38,5))))</f>
        <v>Pasa</v>
      </c>
      <c r="BW24" s="75" t="str" cm="1">
        <f t="array" aca="1" ref="BW24" ca="1">IF($B24="","",IF(ISBLANK(INDIRECT("R9.Web!D"&amp;SUM(18,38*39,5))),"",INDIRECT("R9.Web!D"&amp;SUM(18,38*39,5))))</f>
        <v>Pasa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Pasa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N/A</v>
      </c>
      <c r="CE24" s="75" t="str" cm="1">
        <f t="array" aca="1" ref="CE24" ca="1">IF($B24="","",IF(ISBLANK(INDIRECT("R9.Web!D"&amp;SUM(18,38*47,5))),"",INDIRECT("R9.Web!D"&amp;SUM(18,38*47,5))))</f>
        <v>Pasa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Falla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N/A</v>
      </c>
      <c r="CO24" s="75" t="str" cm="1">
        <f t="array" aca="1" ref="CO24" ca="1">IF($B24="","",IF(ISBLANK(INDIRECT("R12.ServiciosApoyo!D"&amp;SUM(18,38*1,5))),"",INDIRECT("R12.ServiciosApoyo!D"&amp;SUM(18,38*1,5))))</f>
        <v>N/A</v>
      </c>
      <c r="CP24" s="75" t="str" cm="1">
        <f t="array" aca="1" ref="CP24" ca="1">IF($B24="","",IF(ISBLANK(INDIRECT("R12.ServiciosApoyo!D"&amp;SUM(18,38*2,5))),"",INDIRECT("R12.ServiciosApoyo!D"&amp;SUM(18,38*2,5))))</f>
        <v>N/A</v>
      </c>
      <c r="CQ24" s="75" t="str" cm="1">
        <f t="array" aca="1" ref="CQ24" ca="1">IF($B24="","",IF(ISBLANK(INDIRECT("R12.ServiciosApoyo!D"&amp;SUM(18,38*3,5))),"",INDIRECT("R12.ServiciosApoyo!D"&amp;SUM(18,38*3,5))))</f>
        <v>N/A</v>
      </c>
      <c r="CR24" s="75" t="str" cm="1">
        <f t="array" aca="1" ref="CR24" ca="1">IF($B24="","",IF(ISBLANK(INDIRECT("R12.ServiciosApoyo!D"&amp;SUM(18,38*4,5))),"",INDIRECT("R12.ServiciosApoyo!D"&amp;SUM(18,38*4,5))))</f>
        <v>N/A</v>
      </c>
      <c r="CU24" s="76"/>
    </row>
    <row r="25" spans="2:100" ht="20.5">
      <c r="B25" s="39" cm="1">
        <f t="array" ref="B25">IFERROR(INDEX('03.Muestra'!$B$8:$B$42,SMALL(IF("Página Web"='03.Muestra'!$D$8:$D$42,ROW('03.Muestra'!$B$8:$B$42)-MIN(ROW('03.Muestra'!$D$8:$D$42))+1,""),ROW()-19)),"")</f>
        <v>6</v>
      </c>
      <c r="C25" s="73" t="str" cm="1">
        <f t="array" ref="C25">IFERROR(INDEX('03.Muestra'!$C$8:$C$42,SMALL(IF("Página Web"='03.Muestra'!$D$8:$D$42,ROW('03.Muestra'!$C$8:$C$42)-MIN(ROW('03.Muestra'!$D$8:$D$42))+1,""),ROW()-19)),"")</f>
        <v>Impresos electrónicos</v>
      </c>
      <c r="D25" s="74" t="str" cm="1">
        <f t="array" ref="D25">IFERROR(INDEX('03.Muestra'!$F$8:$F$42,SMALL(IF("Página Web"='03.Muestra'!$D$8:$D$42,ROW('03.Muestra'!$F$8:$F$42)-MIN(ROW('03.Muestra'!$D$8:$D$42))+1,""),ROW()-19)),"")</f>
        <v>https://elecciones.comunidad.madrid/es/formaciones-politicas/impresos-electronicos</v>
      </c>
      <c r="E25" s="75" t="str" cm="1">
        <f t="array" aca="1" ref="E25" ca="1">IF($B25="","",IF(ISBLANK(INDIRECT("R5.Genéricos!D"&amp;SUM(18,38*0,6))),"",INDIRECT("R5.Genéricos!D"&amp;SUM(18,38*0,6))))</f>
        <v>Falla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Pasa</v>
      </c>
      <c r="AK25" s="75" t="str" cm="1">
        <f t="array" aca="1" ref="AK25" ca="1">IF($B25="","",IF(ISBLANK(INDIRECT("R9.Web!D"&amp;SUM(18,38*1,6))),"",INDIRECT("R9.Web!D"&amp;SUM(18,38*1,6))))</f>
        <v>N/A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Falla</v>
      </c>
      <c r="AP25" s="75" t="str" cm="1">
        <f t="array" aca="1" ref="AP25" ca="1">IF($B25="","",IF(ISBLANK(INDIRECT("R9.Web!D"&amp;SUM(18,38*6,6))),"",INDIRECT("R9.Web!D"&amp;SUM(18,38*6,6))))</f>
        <v>Falla</v>
      </c>
      <c r="AQ25" s="75" t="str" cm="1">
        <f t="array" aca="1" ref="AQ25" ca="1">IF($B25="","",IF(ISBLANK(INDIRECT("R9.Web!D"&amp;SUM(18,38*7,6))),"",INDIRECT("R9.Web!D"&amp;SUM(18,38*7,6))))</f>
        <v>Falla</v>
      </c>
      <c r="AR25" s="75" t="str" cm="1">
        <f t="array" aca="1" ref="AR25" ca="1">IF($B25="","",IF(ISBLANK(INDIRECT("R9.Web!D"&amp;SUM(18,38*8,6))),"",INDIRECT("R9.Web!D"&amp;SUM(18,38*8,6))))</f>
        <v>Falla</v>
      </c>
      <c r="AS25" s="75" t="str" cm="1">
        <f t="array" aca="1" ref="AS25" ca="1">IF($B25="","",IF(ISBLANK(INDIRECT("R9.Web!D"&amp;SUM(18,38*9,6))),"",INDIRECT("R9.Web!D"&amp;SUM(18,38*9,6))))</f>
        <v>N/A</v>
      </c>
      <c r="AT25" s="75" t="str" cm="1">
        <f t="array" aca="1" ref="AT25" ca="1">IF($B25="","",IF(ISBLANK(INDIRECT("R9.Web!D"&amp;SUM(18,38*10,6))),"",INDIRECT("R9.Web!D"&amp;SUM(18,38*10,6))))</f>
        <v>Pasa</v>
      </c>
      <c r="AU25" s="75" t="str" cm="1">
        <f t="array" aca="1" ref="AU25" ca="1">IF($B25="","",IF(ISBLANK(INDIRECT("R9.Web!D"&amp;SUM(18,38*11,6))),"",INDIRECT("R9.Web!D"&amp;SUM(18,38*11,6))))</f>
        <v>N/A</v>
      </c>
      <c r="AV25" s="75" t="str" cm="1">
        <f t="array" aca="1" ref="AV25" ca="1">IF($B25="","",IF(ISBLANK(INDIRECT("R9.Web!D"&amp;SUM(18,38*12,6))),"",INDIRECT("R9.Web!D"&amp;SUM(18,38*12,6))))</f>
        <v>Pasa</v>
      </c>
      <c r="AW25" s="75" t="str" cm="1">
        <f t="array" aca="1" ref="AW25" ca="1">IF($B25="","",IF(ISBLANK(INDIRECT("R9.Web!D"&amp;SUM(18,38*13,6))),"",INDIRECT("R9.Web!D"&amp;SUM(18,38*13,6))))</f>
        <v>Falla</v>
      </c>
      <c r="AX25" s="75" t="str" cm="1">
        <f t="array" aca="1" ref="AX25" ca="1">IF($B25="","",IF(ISBLANK(INDIRECT("R9.Web!D"&amp;SUM(18,38*14,6))),"",INDIRECT("R9.Web!D"&amp;SUM(18,38*14,6))))</f>
        <v>N/A</v>
      </c>
      <c r="AY25" s="75" t="str" cm="1">
        <f t="array" aca="1" ref="AY25" ca="1">IF($B25="","",IF(ISBLANK(INDIRECT("R9.Web!D"&amp;SUM(18,38*15,6))),"",INDIRECT("R9.Web!D"&amp;SUM(18,38*15,6))))</f>
        <v>Falla</v>
      </c>
      <c r="AZ25" s="75" t="str" cm="1">
        <f t="array" aca="1" ref="AZ25" ca="1">IF($B25="","",IF(ISBLANK(INDIRECT("R9.Web!D"&amp;SUM(18,38*16,6))),"",INDIRECT("R9.Web!D"&amp;SUM(18,38*16,6))))</f>
        <v>Falla</v>
      </c>
      <c r="BA25" s="75" t="str" cm="1">
        <f t="array" aca="1" ref="BA25" ca="1">IF($B25="","",IF(ISBLANK(INDIRECT("R9.Web!D"&amp;SUM(18,38*17,6))),"",INDIRECT("R9.Web!D"&amp;SUM(18,38*17,6))))</f>
        <v>Pasa</v>
      </c>
      <c r="BB25" s="75" t="str" cm="1">
        <f t="array" aca="1" ref="BB25" ca="1">IF($B25="","",IF(ISBLANK(INDIRECT("R9.Web!D"&amp;SUM(18,38*18,6))),"",INDIRECT("R9.Web!D"&amp;SUM(18,38*18,6))))</f>
        <v>Falla</v>
      </c>
      <c r="BC25" s="75" t="str" cm="1">
        <f t="array" aca="1" ref="BC25" ca="1">IF($B25="","",IF(ISBLANK(INDIRECT("R9.Web!D"&amp;SUM(18,38*19,6))),"",INDIRECT("R9.Web!D"&amp;SUM(18,38*19,6))))</f>
        <v>Falla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Pasa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Pasa</v>
      </c>
      <c r="BJ25" s="75" t="str" cm="1">
        <f t="array" aca="1" ref="BJ25" ca="1">IF($B25="","",IF(ISBLANK(INDIRECT("R9.Web!D"&amp;SUM(18,38*26,6))),"",INDIRECT("R9.Web!D"&amp;SUM(18,38*26,6))))</f>
        <v>Pasa</v>
      </c>
      <c r="BK25" s="75" t="str" cm="1">
        <f t="array" aca="1" ref="BK25" ca="1">IF($B25="","",IF(ISBLANK(INDIRECT("R9.Web!D"&amp;SUM(18,38*27,6))),"",INDIRECT("R9.Web!D"&amp;SUM(18,38*27,6))))</f>
        <v>Falla</v>
      </c>
      <c r="BL25" s="75" t="str" cm="1">
        <f t="array" aca="1" ref="BL25" ca="1">IF($B25="","",IF(ISBLANK(INDIRECT("R9.Web!D"&amp;SUM(18,38*28,6))),"",INDIRECT("R9.Web!D"&amp;SUM(18,38*28,6))))</f>
        <v>Falla</v>
      </c>
      <c r="BM25" s="75" t="str" cm="1">
        <f t="array" aca="1" ref="BM25" ca="1">IF($B25="","",IF(ISBLANK(INDIRECT("R9.Web!D"&amp;SUM(18,38*29,6))),"",INDIRECT("R9.Web!D"&amp;SUM(18,38*29,6))))</f>
        <v>Pasa</v>
      </c>
      <c r="BN25" s="75" t="str" cm="1">
        <f t="array" aca="1" ref="BN25" ca="1">IF($B25="","",IF(ISBLANK(INDIRECT("R9.Web!D"&amp;SUM(18,38*30,6))),"",INDIRECT("R9.Web!D"&amp;SUM(18,38*30,6))))</f>
        <v>Pasa</v>
      </c>
      <c r="BO25" s="75" t="str" cm="1">
        <f t="array" aca="1" ref="BO25" ca="1">IF($B25="","",IF(ISBLANK(INDIRECT("R9.Web!D"&amp;SUM(18,38*31,6))),"",INDIRECT("R9.Web!D"&amp;SUM(18,38*31,6))))</f>
        <v>Falla</v>
      </c>
      <c r="BP25" s="75" t="str" cm="1">
        <f t="array" aca="1" ref="BP25" ca="1">IF($B25="","",IF(ISBLANK(INDIRECT("R9.Web!D"&amp;SUM(18,38*32,6))),"",INDIRECT("R9.Web!D"&amp;SUM(18,38*32,6))))</f>
        <v>N/A</v>
      </c>
      <c r="BQ25" s="75" t="str" cm="1">
        <f t="array" aca="1" ref="BQ25" ca="1">IF($B25="","",IF(ISBLANK(INDIRECT("R9.Web!D"&amp;SUM(18,38*33,6))),"",INDIRECT("R9.Web!D"&amp;SUM(18,38*33,6))))</f>
        <v>Pasa</v>
      </c>
      <c r="BR25" s="75" t="str" cm="1">
        <f t="array" aca="1" ref="BR25" ca="1">IF($B25="","",IF(ISBLANK(INDIRECT("R9.Web!D"&amp;SUM(18,38*34,6))),"",INDIRECT("R9.Web!D"&amp;SUM(18,38*34,6))))</f>
        <v>Falla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N/A</v>
      </c>
      <c r="BV25" s="75" t="str" cm="1">
        <f t="array" aca="1" ref="BV25" ca="1">IF($B25="","",IF(ISBLANK(INDIRECT("R9.Web!D"&amp;SUM(18,38*38,6))),"",INDIRECT("R9.Web!D"&amp;SUM(18,38*38,6))))</f>
        <v>Pasa</v>
      </c>
      <c r="BW25" s="75" t="str" cm="1">
        <f t="array" aca="1" ref="BW25" ca="1">IF($B25="","",IF(ISBLANK(INDIRECT("R9.Web!D"&amp;SUM(18,38*39,6))),"",INDIRECT("R9.Web!D"&amp;SUM(18,38*39,6))))</f>
        <v>Pasa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Pasa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N/A</v>
      </c>
      <c r="CE25" s="75" t="str" cm="1">
        <f t="array" aca="1" ref="CE25" ca="1">IF($B25="","",IF(ISBLANK(INDIRECT("R9.Web!D"&amp;SUM(18,38*47,6))),"",INDIRECT("R9.Web!D"&amp;SUM(18,38*47,6))))</f>
        <v>Pasa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Falla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N/A</v>
      </c>
      <c r="CO25" s="75" t="str" cm="1">
        <f t="array" aca="1" ref="CO25" ca="1">IF($B25="","",IF(ISBLANK(INDIRECT("R12.ServiciosApoyo!D"&amp;SUM(18,38*1,6))),"",INDIRECT("R12.ServiciosApoyo!D"&amp;SUM(18,38*1,6))))</f>
        <v>N/A</v>
      </c>
      <c r="CP25" s="75" t="str" cm="1">
        <f t="array" aca="1" ref="CP25" ca="1">IF($B25="","",IF(ISBLANK(INDIRECT("R12.ServiciosApoyo!D"&amp;SUM(18,38*2,6))),"",INDIRECT("R12.ServiciosApoyo!D"&amp;SUM(18,38*2,6))))</f>
        <v>N/A</v>
      </c>
      <c r="CQ25" s="75" t="str" cm="1">
        <f t="array" aca="1" ref="CQ25" ca="1">IF($B25="","",IF(ISBLANK(INDIRECT("R12.ServiciosApoyo!D"&amp;SUM(18,38*3,6))),"",INDIRECT("R12.ServiciosApoyo!D"&amp;SUM(18,38*3,6))))</f>
        <v>N/A</v>
      </c>
      <c r="CR25" s="75" t="str" cm="1">
        <f t="array" aca="1" ref="CR25" ca="1">IF($B25="","",IF(ISBLANK(INDIRECT("R12.ServiciosApoyo!D"&amp;SUM(18,38*4,6))),"",INDIRECT("R12.ServiciosApoyo!D"&amp;SUM(18,38*4,6))))</f>
        <v>N/A</v>
      </c>
      <c r="CU25" s="76"/>
    </row>
    <row r="26" spans="2:100" ht="20.5">
      <c r="B26" s="39" cm="1">
        <f t="array" ref="B26">IFERROR(INDEX('03.Muestra'!$B$8:$B$42,SMALL(IF("Página Web"='03.Muestra'!$D$8:$D$42,ROW('03.Muestra'!$B$8:$B$42)-MIN(ROW('03.Muestra'!$D$8:$D$42))+1,""),ROW()-19)),"")</f>
        <v>7</v>
      </c>
      <c r="C26" s="73" t="str" cm="1">
        <f t="array" ref="C26">IFERROR(INDEX('03.Muestra'!$C$8:$C$42,SMALL(IF("Página Web"='03.Muestra'!$D$8:$D$42,ROW('03.Muestra'!$C$8:$C$42)-MIN(ROW('03.Muestra'!$D$8:$D$42))+1,""),ROW()-19)),"")</f>
        <v>Listado de candidaturas</v>
      </c>
      <c r="D26" s="74" t="str" cm="1">
        <f t="array" ref="D26">IFERROR(INDEX('03.Muestra'!$F$8:$F$42,SMALL(IF("Página Web"='03.Muestra'!$D$8:$D$42,ROW('03.Muestra'!$F$8:$F$42)-MIN(ROW('03.Muestra'!$D$8:$D$42))+1,""),ROW()-19)),"")</f>
        <v>https://elecciones.comunidad.madrid/es/formaciones-politicas/listado-candidaturas-proclamadas</v>
      </c>
      <c r="E26" s="75" t="str" cm="1">
        <f t="array" aca="1" ref="E26" ca="1">IF($B26="","",IF(ISBLANK(INDIRECT("R5.Genéricos!D"&amp;SUM(18,38*0,7))),"",INDIRECT("R5.Genéricos!D"&amp;SUM(18,38*0,7))))</f>
        <v>Falla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N/A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Pasa</v>
      </c>
      <c r="AK26" s="75" t="str" cm="1">
        <f t="array" aca="1" ref="AK26" ca="1">IF($B26="","",IF(ISBLANK(INDIRECT("R9.Web!D"&amp;SUM(18,38*1,7))),"",INDIRECT("R9.Web!D"&amp;SUM(18,38*1,7))))</f>
        <v>N/A</v>
      </c>
      <c r="AL26" s="75" t="str" cm="1">
        <f t="array" aca="1" ref="AL26" ca="1">IF($B26="","",IF(ISBLANK(INDIRECT("R9.Web!D"&amp;SUM(18,38*2,7))),"",INDIRECT("R9.Web!D"&amp;SUM(18,38*2,7))))</f>
        <v>N/A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Falla</v>
      </c>
      <c r="AP26" s="75" t="str" cm="1">
        <f t="array" aca="1" ref="AP26" ca="1">IF($B26="","",IF(ISBLANK(INDIRECT("R9.Web!D"&amp;SUM(18,38*6,7))),"",INDIRECT("R9.Web!D"&amp;SUM(18,38*6,7))))</f>
        <v>Falla</v>
      </c>
      <c r="AQ26" s="75" t="str" cm="1">
        <f t="array" aca="1" ref="AQ26" ca="1">IF($B26="","",IF(ISBLANK(INDIRECT("R9.Web!D"&amp;SUM(18,38*7,7))),"",INDIRECT("R9.Web!D"&amp;SUM(18,38*7,7))))</f>
        <v>Falla</v>
      </c>
      <c r="AR26" s="75" t="str" cm="1">
        <f t="array" aca="1" ref="AR26" ca="1">IF($B26="","",IF(ISBLANK(INDIRECT("R9.Web!D"&amp;SUM(18,38*8,7))),"",INDIRECT("R9.Web!D"&amp;SUM(18,38*8,7))))</f>
        <v>Falla</v>
      </c>
      <c r="AS26" s="75" t="str" cm="1">
        <f t="array" aca="1" ref="AS26" ca="1">IF($B26="","",IF(ISBLANK(INDIRECT("R9.Web!D"&amp;SUM(18,38*9,7))),"",INDIRECT("R9.Web!D"&amp;SUM(18,38*9,7))))</f>
        <v>N/A</v>
      </c>
      <c r="AT26" s="75" t="str" cm="1">
        <f t="array" aca="1" ref="AT26" ca="1">IF($B26="","",IF(ISBLANK(INDIRECT("R9.Web!D"&amp;SUM(18,38*10,7))),"",INDIRECT("R9.Web!D"&amp;SUM(18,38*10,7))))</f>
        <v>Falla</v>
      </c>
      <c r="AU26" s="75" t="str" cm="1">
        <f t="array" aca="1" ref="AU26" ca="1">IF($B26="","",IF(ISBLANK(INDIRECT("R9.Web!D"&amp;SUM(18,38*11,7))),"",INDIRECT("R9.Web!D"&amp;SUM(18,38*11,7))))</f>
        <v>N/A</v>
      </c>
      <c r="AV26" s="75" t="str" cm="1">
        <f t="array" aca="1" ref="AV26" ca="1">IF($B26="","",IF(ISBLANK(INDIRECT("R9.Web!D"&amp;SUM(18,38*12,7))),"",INDIRECT("R9.Web!D"&amp;SUM(18,38*12,7))))</f>
        <v>Pasa</v>
      </c>
      <c r="AW26" s="75" t="str" cm="1">
        <f t="array" aca="1" ref="AW26" ca="1">IF($B26="","",IF(ISBLANK(INDIRECT("R9.Web!D"&amp;SUM(18,38*13,7))),"",INDIRECT("R9.Web!D"&amp;SUM(18,38*13,7))))</f>
        <v>Falla</v>
      </c>
      <c r="AX26" s="75" t="str" cm="1">
        <f t="array" aca="1" ref="AX26" ca="1">IF($B26="","",IF(ISBLANK(INDIRECT("R9.Web!D"&amp;SUM(18,38*14,7))),"",INDIRECT("R9.Web!D"&amp;SUM(18,38*14,7))))</f>
        <v>N/A</v>
      </c>
      <c r="AY26" s="75" t="str" cm="1">
        <f t="array" aca="1" ref="AY26" ca="1">IF($B26="","",IF(ISBLANK(INDIRECT("R9.Web!D"&amp;SUM(18,38*15,7))),"",INDIRECT("R9.Web!D"&amp;SUM(18,38*15,7))))</f>
        <v>Falla</v>
      </c>
      <c r="AZ26" s="75" t="str" cm="1">
        <f t="array" aca="1" ref="AZ26" ca="1">IF($B26="","",IF(ISBLANK(INDIRECT("R9.Web!D"&amp;SUM(18,38*16,7))),"",INDIRECT("R9.Web!D"&amp;SUM(18,38*16,7))))</f>
        <v>Falla</v>
      </c>
      <c r="BA26" s="75" t="str" cm="1">
        <f t="array" aca="1" ref="BA26" ca="1">IF($B26="","",IF(ISBLANK(INDIRECT("R9.Web!D"&amp;SUM(18,38*17,7))),"",INDIRECT("R9.Web!D"&amp;SUM(18,38*17,7))))</f>
        <v>Pasa</v>
      </c>
      <c r="BB26" s="75" t="str" cm="1">
        <f t="array" aca="1" ref="BB26" ca="1">IF($B26="","",IF(ISBLANK(INDIRECT("R9.Web!D"&amp;SUM(18,38*18,7))),"",INDIRECT("R9.Web!D"&amp;SUM(18,38*18,7))))</f>
        <v>Falla</v>
      </c>
      <c r="BC26" s="75" t="str" cm="1">
        <f t="array" aca="1" ref="BC26" ca="1">IF($B26="","",IF(ISBLANK(INDIRECT("R9.Web!D"&amp;SUM(18,38*19,7))),"",INDIRECT("R9.Web!D"&amp;SUM(18,38*19,7))))</f>
        <v>Falla</v>
      </c>
      <c r="BD26" s="75" t="str" cm="1">
        <f t="array" aca="1" ref="BD26" ca="1">IF($B26="","",IF(ISBLANK(INDIRECT("R9.Web!D"&amp;SUM(18,38*20,7))),"",INDIRECT("R9.Web!D"&amp;SUM(18,38*20,7))))</f>
        <v>Pasa</v>
      </c>
      <c r="BE26" s="75" t="str" cm="1">
        <f t="array" aca="1" ref="BE26" ca="1">IF($B26="","",IF(ISBLANK(INDIRECT("R9.Web!D"&amp;SUM(18,38*21,7))),"",INDIRECT("R9.Web!D"&amp;SUM(18,38*21,7))))</f>
        <v>N/A</v>
      </c>
      <c r="BF26" s="75" t="str" cm="1">
        <f t="array" aca="1" ref="BF26" ca="1">IF($B26="","",IF(ISBLANK(INDIRECT("R9.Web!D"&amp;SUM(18,38*22,7))),"",INDIRECT("R9.Web!D"&amp;SUM(18,38*22,7))))</f>
        <v>Pasa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Pasa</v>
      </c>
      <c r="BJ26" s="75" t="str" cm="1">
        <f t="array" aca="1" ref="BJ26" ca="1">IF($B26="","",IF(ISBLANK(INDIRECT("R9.Web!D"&amp;SUM(18,38*26,7))),"",INDIRECT("R9.Web!D"&amp;SUM(18,38*26,7))))</f>
        <v>Pasa</v>
      </c>
      <c r="BK26" s="75" t="str" cm="1">
        <f t="array" aca="1" ref="BK26" ca="1">IF($B26="","",IF(ISBLANK(INDIRECT("R9.Web!D"&amp;SUM(18,38*27,7))),"",INDIRECT("R9.Web!D"&amp;SUM(18,38*27,7))))</f>
        <v>Falla</v>
      </c>
      <c r="BL26" s="75" t="str" cm="1">
        <f t="array" aca="1" ref="BL26" ca="1">IF($B26="","",IF(ISBLANK(INDIRECT("R9.Web!D"&amp;SUM(18,38*28,7))),"",INDIRECT("R9.Web!D"&amp;SUM(18,38*28,7))))</f>
        <v>Falla</v>
      </c>
      <c r="BM26" s="75" t="str" cm="1">
        <f t="array" aca="1" ref="BM26" ca="1">IF($B26="","",IF(ISBLANK(INDIRECT("R9.Web!D"&amp;SUM(18,38*29,7))),"",INDIRECT("R9.Web!D"&amp;SUM(18,38*29,7))))</f>
        <v>Pasa</v>
      </c>
      <c r="BN26" s="75" t="str" cm="1">
        <f t="array" aca="1" ref="BN26" ca="1">IF($B26="","",IF(ISBLANK(INDIRECT("R9.Web!D"&amp;SUM(18,38*30,7))),"",INDIRECT("R9.Web!D"&amp;SUM(18,38*30,7))))</f>
        <v>Pasa</v>
      </c>
      <c r="BO26" s="75" t="str" cm="1">
        <f t="array" aca="1" ref="BO26" ca="1">IF($B26="","",IF(ISBLANK(INDIRECT("R9.Web!D"&amp;SUM(18,38*31,7))),"",INDIRECT("R9.Web!D"&amp;SUM(18,38*31,7))))</f>
        <v>Falla</v>
      </c>
      <c r="BP26" s="75" t="str" cm="1">
        <f t="array" aca="1" ref="BP26" ca="1">IF($B26="","",IF(ISBLANK(INDIRECT("R9.Web!D"&amp;SUM(18,38*32,7))),"",INDIRECT("R9.Web!D"&amp;SUM(18,38*32,7))))</f>
        <v>N/A</v>
      </c>
      <c r="BQ26" s="75" t="str" cm="1">
        <f t="array" aca="1" ref="BQ26" ca="1">IF($B26="","",IF(ISBLANK(INDIRECT("R9.Web!D"&amp;SUM(18,38*33,7))),"",INDIRECT("R9.Web!D"&amp;SUM(18,38*33,7))))</f>
        <v>Pasa</v>
      </c>
      <c r="BR26" s="75" t="str" cm="1">
        <f t="array" aca="1" ref="BR26" ca="1">IF($B26="","",IF(ISBLANK(INDIRECT("R9.Web!D"&amp;SUM(18,38*34,7))),"",INDIRECT("R9.Web!D"&amp;SUM(18,38*34,7))))</f>
        <v>Falla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N/A</v>
      </c>
      <c r="BV26" s="75" t="str" cm="1">
        <f t="array" aca="1" ref="BV26" ca="1">IF($B26="","",IF(ISBLANK(INDIRECT("R9.Web!D"&amp;SUM(18,38*38,7))),"",INDIRECT("R9.Web!D"&amp;SUM(18,38*38,7))))</f>
        <v>Pasa</v>
      </c>
      <c r="BW26" s="75" t="str" cm="1">
        <f t="array" aca="1" ref="BW26" ca="1">IF($B26="","",IF(ISBLANK(INDIRECT("R9.Web!D"&amp;SUM(18,38*39,7))),"",INDIRECT("R9.Web!D"&amp;SUM(18,38*39,7))))</f>
        <v>Pasa</v>
      </c>
      <c r="BX26" s="75" t="str" cm="1">
        <f t="array" aca="1" ref="BX26" ca="1">IF($B26="","",IF(ISBLANK(INDIRECT("R9.Web!D"&amp;SUM(18,38*40,7))),"",INDIRECT("R9.Web!D"&amp;SUM(18,38*40,7))))</f>
        <v>Pasa</v>
      </c>
      <c r="BY26" s="75" t="str" cm="1">
        <f t="array" aca="1" ref="BY26" ca="1">IF($B26="","",IF(ISBLANK(INDIRECT("R9.Web!D"&amp;SUM(18,38*41,7))),"",INDIRECT("R9.Web!D"&amp;SUM(18,38*41,7))))</f>
        <v>Pasa</v>
      </c>
      <c r="BZ26" s="75" t="str" cm="1">
        <f t="array" aca="1" ref="BZ26" ca="1">IF($B26="","",IF(ISBLANK(INDIRECT("R9.Web!D"&amp;SUM(18,38*42,7))),"",INDIRECT("R9.Web!D"&amp;SUM(18,38*42,7))))</f>
        <v>N/A</v>
      </c>
      <c r="CA26" s="75" t="str" cm="1">
        <f t="array" aca="1" ref="CA26" ca="1">IF($B26="","",IF(ISBLANK(INDIRECT("R9.Web!D"&amp;SUM(18,38*43,7))),"",INDIRECT("R9.Web!D"&amp;SUM(18,38*43,7))))</f>
        <v>Pasa</v>
      </c>
      <c r="CB26" s="75" t="str" cm="1">
        <f t="array" aca="1" ref="CB26" ca="1">IF($B26="","",IF(ISBLANK(INDIRECT("R9.Web!D"&amp;SUM(18,38*44,7))),"",INDIRECT("R9.Web!D"&amp;SUM(18,38*44,7))))</f>
        <v>N/A</v>
      </c>
      <c r="CC26" s="75" t="str" cm="1">
        <f t="array" aca="1" ref="CC26" ca="1">IF($B26="","",IF(ISBLANK(INDIRECT("R9.Web!D"&amp;SUM(18,38*45,7))),"",INDIRECT("R9.Web!D"&amp;SUM(18,38*45,7))))</f>
        <v>N/A</v>
      </c>
      <c r="CD26" s="75" t="str" cm="1">
        <f t="array" aca="1" ref="CD26" ca="1">IF($B26="","",IF(ISBLANK(INDIRECT("R9.Web!D"&amp;SUM(18,38*46,7))),"",INDIRECT("R9.Web!D"&amp;SUM(18,38*46,7))))</f>
        <v>N/A</v>
      </c>
      <c r="CE26" s="75" t="str" cm="1">
        <f t="array" aca="1" ref="CE26" ca="1">IF($B26="","",IF(ISBLANK(INDIRECT("R9.Web!D"&amp;SUM(18,38*47,7))),"",INDIRECT("R9.Web!D"&amp;SUM(18,38*47,7))))</f>
        <v>Pasa</v>
      </c>
      <c r="CF26" s="75" t="str" cm="1">
        <f t="array" aca="1" ref="CF26" ca="1">IF($B26="","",IF(ISBLANK(INDIRECT("R9.Web!D"&amp;SUM(18,38*48,7))),"",INDIRECT("R9.Web!D"&amp;SUM(18,38*48,7))))</f>
        <v>N/A</v>
      </c>
      <c r="CG26" s="75" t="str" cm="1">
        <f t="array" aca="1" ref="CG26" ca="1">IF($B26="","",IF(ISBLANK(INDIRECT("R9.Web!D"&amp;SUM(18,38*49,7))),"",INDIRECT("R9.Web!D"&amp;SUM(18,38*49,7))))</f>
        <v>Falla</v>
      </c>
      <c r="CH26" s="75" t="str" cm="1">
        <f t="array" aca="1" ref="CH26" ca="1">IF($B26="","",IF(ISBLANK(INDIRECT("R11.Software!D"&amp;SUM(18,38*0,7))),"",INDIRECT("R11.Software!D"&amp;SUM(18,38*0,7))))</f>
        <v>Falla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N/A</v>
      </c>
      <c r="CO26" s="75" t="str" cm="1">
        <f t="array" aca="1" ref="CO26" ca="1">IF($B26="","",IF(ISBLANK(INDIRECT("R12.ServiciosApoyo!D"&amp;SUM(18,38*1,7))),"",INDIRECT("R12.ServiciosApoyo!D"&amp;SUM(18,38*1,7))))</f>
        <v>N/A</v>
      </c>
      <c r="CP26" s="75" t="str" cm="1">
        <f t="array" aca="1" ref="CP26" ca="1">IF($B26="","",IF(ISBLANK(INDIRECT("R12.ServiciosApoyo!D"&amp;SUM(18,38*2,7))),"",INDIRECT("R12.ServiciosApoyo!D"&amp;SUM(18,38*2,7))))</f>
        <v>N/A</v>
      </c>
      <c r="CQ26" s="75" t="str" cm="1">
        <f t="array" aca="1" ref="CQ26" ca="1">IF($B26="","",IF(ISBLANK(INDIRECT("R12.ServiciosApoyo!D"&amp;SUM(18,38*3,7))),"",INDIRECT("R12.ServiciosApoyo!D"&amp;SUM(18,38*3,7))))</f>
        <v>N/A</v>
      </c>
      <c r="CR26" s="75" t="str" cm="1">
        <f t="array" aca="1" ref="CR26" ca="1">IF($B26="","",IF(ISBLANK(INDIRECT("R12.ServiciosApoyo!D"&amp;SUM(18,38*4,7))),"",INDIRECT("R12.ServiciosApoyo!D"&amp;SUM(18,38*4,7))))</f>
        <v>N/A</v>
      </c>
      <c r="CU26" s="76"/>
    </row>
    <row r="27" spans="2:100" ht="20.5">
      <c r="B27" s="39" cm="1">
        <f t="array" ref="B27">IFERROR(INDEX('03.Muestra'!$B$8:$B$42,SMALL(IF("Página Web"='03.Muestra'!$D$8:$D$42,ROW('03.Muestra'!$B$8:$B$42)-MIN(ROW('03.Muestra'!$D$8:$D$42))+1,""),ROW()-19)),"")</f>
        <v>8</v>
      </c>
      <c r="C27" s="73" t="str" cm="1">
        <f t="array" ref="C27">IFERROR(INDEX('03.Muestra'!$C$8:$C$42,SMALL(IF("Página Web"='03.Muestra'!$D$8:$D$42,ROW('03.Muestra'!$C$8:$C$42)-MIN(ROW('03.Muestra'!$D$8:$D$42))+1,""),ROW()-19)),"")</f>
        <v>Partido Feminista de España</v>
      </c>
      <c r="D27" s="74" t="str" cm="1">
        <f t="array" ref="D27">IFERROR(INDEX('03.Muestra'!$F$8:$F$42,SMALL(IF("Página Web"='03.Muestra'!$D$8:$D$42,ROW('03.Muestra'!$F$8:$F$42)-MIN(ROW('03.Muestra'!$D$8:$D$42))+1,""),ROW()-19)),"")</f>
        <v>https://elecciones.comunidad.madrid/es/formaciones-politicas/listado-candidaturas/partido-feminista-espana</v>
      </c>
      <c r="E27" s="75" t="str" cm="1">
        <f t="array" aca="1" ref="E27" ca="1">IF($B27="","",IF(ISBLANK(INDIRECT("R5.Genéricos!D"&amp;SUM(18,38*0,8))),"",INDIRECT("R5.Genéricos!D"&amp;SUM(18,38*0,8))))</f>
        <v>N/A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N/A</v>
      </c>
      <c r="AB27" s="75" t="str" cm="1">
        <f t="array" aca="1" ref="AB27" ca="1">IF($B27="","",IF(ISBLANK(INDIRECT("R7.Video!D"&amp;SUM(18,38*1,8))),"",INDIRECT("R7.Video!D"&amp;SUM(18,38*1,8))))</f>
        <v>N/A</v>
      </c>
      <c r="AC27" s="75" t="str" cm="1">
        <f t="array" aca="1" ref="AC27" ca="1">IF($B27="","",IF(ISBLANK(INDIRECT("R7.Video!D"&amp;SUM(18,38*2,8))),"",INDIRECT("R7.Video!D"&amp;SUM(18,38*2,8))))</f>
        <v>N/A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N/A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N/A</v>
      </c>
      <c r="AJ27" s="75" t="str" cm="1">
        <f t="array" aca="1" ref="AJ27" ca="1">IF($B27="","",IF(ISBLANK(INDIRECT("R9.Web!D"&amp;SUM(18,38*0,8))),"",INDIRECT("R9.Web!D"&amp;SUM(18,38*0,8))))</f>
        <v>Pasa</v>
      </c>
      <c r="AK27" s="75" t="str" cm="1">
        <f t="array" aca="1" ref="AK27" ca="1">IF($B27="","",IF(ISBLANK(INDIRECT("R9.Web!D"&amp;SUM(18,38*1,8))),"",INDIRECT("R9.Web!D"&amp;SUM(18,38*1,8))))</f>
        <v>N/A</v>
      </c>
      <c r="AL27" s="75" t="str" cm="1">
        <f t="array" aca="1" ref="AL27" ca="1">IF($B27="","",IF(ISBLANK(INDIRECT("R9.Web!D"&amp;SUM(18,38*2,8))),"",INDIRECT("R9.Web!D"&amp;SUM(18,38*2,8))))</f>
        <v>N/A</v>
      </c>
      <c r="AM27" s="75" t="str" cm="1">
        <f t="array" aca="1" ref="AM27" ca="1">IF($B27="","",IF(ISBLANK(INDIRECT("R9.Web!D"&amp;SUM(18,38*3,8))),"",INDIRECT("R9.Web!D"&amp;SUM(18,38*3,8))))</f>
        <v>N/A</v>
      </c>
      <c r="AN27" s="75" t="str" cm="1">
        <f t="array" aca="1" ref="AN27" ca="1">IF($B27="","",IF(ISBLANK(INDIRECT("R9.Web!D"&amp;SUM(18,38*4,8))),"",INDIRECT("R9.Web!D"&amp;SUM(18,38*4,8))))</f>
        <v>N/A</v>
      </c>
      <c r="AO27" s="75" t="str" cm="1">
        <f t="array" aca="1" ref="AO27" ca="1">IF($B27="","",IF(ISBLANK(INDIRECT("R9.Web!D"&amp;SUM(18,38*5,8))),"",INDIRECT("R9.Web!D"&amp;SUM(18,38*5,8))))</f>
        <v>Falla</v>
      </c>
      <c r="AP27" s="75" t="str" cm="1">
        <f t="array" aca="1" ref="AP27" ca="1">IF($B27="","",IF(ISBLANK(INDIRECT("R9.Web!D"&amp;SUM(18,38*6,8))),"",INDIRECT("R9.Web!D"&amp;SUM(18,38*6,8))))</f>
        <v>Falla</v>
      </c>
      <c r="AQ27" s="75" t="str" cm="1">
        <f t="array" aca="1" ref="AQ27" ca="1">IF($B27="","",IF(ISBLANK(INDIRECT("R9.Web!D"&amp;SUM(18,38*7,8))),"",INDIRECT("R9.Web!D"&amp;SUM(18,38*7,8))))</f>
        <v>Falla</v>
      </c>
      <c r="AR27" s="75" t="str" cm="1">
        <f t="array" aca="1" ref="AR27" ca="1">IF($B27="","",IF(ISBLANK(INDIRECT("R9.Web!D"&amp;SUM(18,38*8,8))),"",INDIRECT("R9.Web!D"&amp;SUM(18,38*8,8))))</f>
        <v>Falla</v>
      </c>
      <c r="AS27" s="75" t="str" cm="1">
        <f t="array" aca="1" ref="AS27" ca="1">IF($B27="","",IF(ISBLANK(INDIRECT("R9.Web!D"&amp;SUM(18,38*9,8))),"",INDIRECT("R9.Web!D"&amp;SUM(18,38*9,8))))</f>
        <v>N/A</v>
      </c>
      <c r="AT27" s="75" t="str" cm="1">
        <f t="array" aca="1" ref="AT27" ca="1">IF($B27="","",IF(ISBLANK(INDIRECT("R9.Web!D"&amp;SUM(18,38*10,8))),"",INDIRECT("R9.Web!D"&amp;SUM(18,38*10,8))))</f>
        <v>Pasa</v>
      </c>
      <c r="AU27" s="75" t="str" cm="1">
        <f t="array" aca="1" ref="AU27" ca="1">IF($B27="","",IF(ISBLANK(INDIRECT("R9.Web!D"&amp;SUM(18,38*11,8))),"",INDIRECT("R9.Web!D"&amp;SUM(18,38*11,8))))</f>
        <v>N/A</v>
      </c>
      <c r="AV27" s="75" t="str" cm="1">
        <f t="array" aca="1" ref="AV27" ca="1">IF($B27="","",IF(ISBLANK(INDIRECT("R9.Web!D"&amp;SUM(18,38*12,8))),"",INDIRECT("R9.Web!D"&amp;SUM(18,38*12,8))))</f>
        <v>Pasa</v>
      </c>
      <c r="AW27" s="75" t="str" cm="1">
        <f t="array" aca="1" ref="AW27" ca="1">IF($B27="","",IF(ISBLANK(INDIRECT("R9.Web!D"&amp;SUM(18,38*13,8))),"",INDIRECT("R9.Web!D"&amp;SUM(18,38*13,8))))</f>
        <v>Falla</v>
      </c>
      <c r="AX27" s="75" t="str" cm="1">
        <f t="array" aca="1" ref="AX27" ca="1">IF($B27="","",IF(ISBLANK(INDIRECT("R9.Web!D"&amp;SUM(18,38*14,8))),"",INDIRECT("R9.Web!D"&amp;SUM(18,38*14,8))))</f>
        <v>N/A</v>
      </c>
      <c r="AY27" s="75" t="str" cm="1">
        <f t="array" aca="1" ref="AY27" ca="1">IF($B27="","",IF(ISBLANK(INDIRECT("R9.Web!D"&amp;SUM(18,38*15,8))),"",INDIRECT("R9.Web!D"&amp;SUM(18,38*15,8))))</f>
        <v>Falla</v>
      </c>
      <c r="AZ27" s="75" t="str" cm="1">
        <f t="array" aca="1" ref="AZ27" ca="1">IF($B27="","",IF(ISBLANK(INDIRECT("R9.Web!D"&amp;SUM(18,38*16,8))),"",INDIRECT("R9.Web!D"&amp;SUM(18,38*16,8))))</f>
        <v>Falla</v>
      </c>
      <c r="BA27" s="75" t="str" cm="1">
        <f t="array" aca="1" ref="BA27" ca="1">IF($B27="","",IF(ISBLANK(INDIRECT("R9.Web!D"&amp;SUM(18,38*17,8))),"",INDIRECT("R9.Web!D"&amp;SUM(18,38*17,8))))</f>
        <v>Pasa</v>
      </c>
      <c r="BB27" s="75" t="str" cm="1">
        <f t="array" aca="1" ref="BB27" ca="1">IF($B27="","",IF(ISBLANK(INDIRECT("R9.Web!D"&amp;SUM(18,38*18,8))),"",INDIRECT("R9.Web!D"&amp;SUM(18,38*18,8))))</f>
        <v>Falla</v>
      </c>
      <c r="BC27" s="75" t="str" cm="1">
        <f t="array" aca="1" ref="BC27" ca="1">IF($B27="","",IF(ISBLANK(INDIRECT("R9.Web!D"&amp;SUM(18,38*19,8))),"",INDIRECT("R9.Web!D"&amp;SUM(18,38*19,8))))</f>
        <v>Falla</v>
      </c>
      <c r="BD27" s="75" t="str" cm="1">
        <f t="array" aca="1" ref="BD27" ca="1">IF($B27="","",IF(ISBLANK(INDIRECT("R9.Web!D"&amp;SUM(18,38*20,8))),"",INDIRECT("R9.Web!D"&amp;SUM(18,38*20,8))))</f>
        <v>Pasa</v>
      </c>
      <c r="BE27" s="75" t="str" cm="1">
        <f t="array" aca="1" ref="BE27" ca="1">IF($B27="","",IF(ISBLANK(INDIRECT("R9.Web!D"&amp;SUM(18,38*21,8))),"",INDIRECT("R9.Web!D"&amp;SUM(18,38*21,8))))</f>
        <v>N/A</v>
      </c>
      <c r="BF27" s="75" t="str" cm="1">
        <f t="array" aca="1" ref="BF27" ca="1">IF($B27="","",IF(ISBLANK(INDIRECT("R9.Web!D"&amp;SUM(18,38*22,8))),"",INDIRECT("R9.Web!D"&amp;SUM(18,38*22,8))))</f>
        <v>Pasa</v>
      </c>
      <c r="BG27" s="75" t="str" cm="1">
        <f t="array" aca="1" ref="BG27" ca="1">IF($B27="","",IF(ISBLANK(INDIRECT("R9.Web!D"&amp;SUM(18,38*23,8))),"",INDIRECT("R9.Web!D"&amp;SUM(18,38*23,8))))</f>
        <v>N/A</v>
      </c>
      <c r="BH27" s="75" t="str" cm="1">
        <f t="array" aca="1" ref="BH27" ca="1">IF($B27="","",IF(ISBLANK(INDIRECT("R9.Web!D"&amp;SUM(18,38*24,8))),"",INDIRECT("R9.Web!D"&amp;SUM(18,38*24,8))))</f>
        <v>N/A</v>
      </c>
      <c r="BI27" s="75" t="str" cm="1">
        <f t="array" aca="1" ref="BI27" ca="1">IF($B27="","",IF(ISBLANK(INDIRECT("R9.Web!D"&amp;SUM(18,38*25,8))),"",INDIRECT("R9.Web!D"&amp;SUM(18,38*25,8))))</f>
        <v>Pasa</v>
      </c>
      <c r="BJ27" s="75" t="str" cm="1">
        <f t="array" aca="1" ref="BJ27" ca="1">IF($B27="","",IF(ISBLANK(INDIRECT("R9.Web!D"&amp;SUM(18,38*26,8))),"",INDIRECT("R9.Web!D"&amp;SUM(18,38*26,8))))</f>
        <v>Pasa</v>
      </c>
      <c r="BK27" s="75" t="str" cm="1">
        <f t="array" aca="1" ref="BK27" ca="1">IF($B27="","",IF(ISBLANK(INDIRECT("R9.Web!D"&amp;SUM(18,38*27,8))),"",INDIRECT("R9.Web!D"&amp;SUM(18,38*27,8))))</f>
        <v>Falla</v>
      </c>
      <c r="BL27" s="75" t="str" cm="1">
        <f t="array" aca="1" ref="BL27" ca="1">IF($B27="","",IF(ISBLANK(INDIRECT("R9.Web!D"&amp;SUM(18,38*28,8))),"",INDIRECT("R9.Web!D"&amp;SUM(18,38*28,8))))</f>
        <v>Falla</v>
      </c>
      <c r="BM27" s="75" t="str" cm="1">
        <f t="array" aca="1" ref="BM27" ca="1">IF($B27="","",IF(ISBLANK(INDIRECT("R9.Web!D"&amp;SUM(18,38*29,8))),"",INDIRECT("R9.Web!D"&amp;SUM(18,38*29,8))))</f>
        <v>Falla</v>
      </c>
      <c r="BN27" s="75" t="str" cm="1">
        <f t="array" aca="1" ref="BN27" ca="1">IF($B27="","",IF(ISBLANK(INDIRECT("R9.Web!D"&amp;SUM(18,38*30,8))),"",INDIRECT("R9.Web!D"&amp;SUM(18,38*30,8))))</f>
        <v>Pasa</v>
      </c>
      <c r="BO27" s="75" t="str" cm="1">
        <f t="array" aca="1" ref="BO27" ca="1">IF($B27="","",IF(ISBLANK(INDIRECT("R9.Web!D"&amp;SUM(18,38*31,8))),"",INDIRECT("R9.Web!D"&amp;SUM(18,38*31,8))))</f>
        <v>Falla</v>
      </c>
      <c r="BP27" s="75" t="str" cm="1">
        <f t="array" aca="1" ref="BP27" ca="1">IF($B27="","",IF(ISBLANK(INDIRECT("R9.Web!D"&amp;SUM(18,38*32,8))),"",INDIRECT("R9.Web!D"&amp;SUM(18,38*32,8))))</f>
        <v>N/A</v>
      </c>
      <c r="BQ27" s="75" t="str" cm="1">
        <f t="array" aca="1" ref="BQ27" ca="1">IF($B27="","",IF(ISBLANK(INDIRECT("R9.Web!D"&amp;SUM(18,38*33,8))),"",INDIRECT("R9.Web!D"&amp;SUM(18,38*33,8))))</f>
        <v>Pasa</v>
      </c>
      <c r="BR27" s="75" t="str" cm="1">
        <f t="array" aca="1" ref="BR27" ca="1">IF($B27="","",IF(ISBLANK(INDIRECT("R9.Web!D"&amp;SUM(18,38*34,8))),"",INDIRECT("R9.Web!D"&amp;SUM(18,38*34,8))))</f>
        <v>Falla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N/A</v>
      </c>
      <c r="BV27" s="75" t="str" cm="1">
        <f t="array" aca="1" ref="BV27" ca="1">IF($B27="","",IF(ISBLANK(INDIRECT("R9.Web!D"&amp;SUM(18,38*38,8))),"",INDIRECT("R9.Web!D"&amp;SUM(18,38*38,8))))</f>
        <v>Pasa</v>
      </c>
      <c r="BW27" s="75" t="str" cm="1">
        <f t="array" aca="1" ref="BW27" ca="1">IF($B27="","",IF(ISBLANK(INDIRECT("R9.Web!D"&amp;SUM(18,38*39,8))),"",INDIRECT("R9.Web!D"&amp;SUM(18,38*39,8))))</f>
        <v>Pasa</v>
      </c>
      <c r="BX27" s="75" t="str" cm="1">
        <f t="array" aca="1" ref="BX27" ca="1">IF($B27="","",IF(ISBLANK(INDIRECT("R9.Web!D"&amp;SUM(18,38*40,8))),"",INDIRECT("R9.Web!D"&amp;SUM(18,38*40,8))))</f>
        <v>Pasa</v>
      </c>
      <c r="BY27" s="75" t="str" cm="1">
        <f t="array" aca="1" ref="BY27" ca="1">IF($B27="","",IF(ISBLANK(INDIRECT("R9.Web!D"&amp;SUM(18,38*41,8))),"",INDIRECT("R9.Web!D"&amp;SUM(18,38*41,8))))</f>
        <v>Pasa</v>
      </c>
      <c r="BZ27" s="75" t="str" cm="1">
        <f t="array" aca="1" ref="BZ27" ca="1">IF($B27="","",IF(ISBLANK(INDIRECT("R9.Web!D"&amp;SUM(18,38*42,8))),"",INDIRECT("R9.Web!D"&amp;SUM(18,38*42,8))))</f>
        <v>N/A</v>
      </c>
      <c r="CA27" s="75" t="str" cm="1">
        <f t="array" aca="1" ref="CA27" ca="1">IF($B27="","",IF(ISBLANK(INDIRECT("R9.Web!D"&amp;SUM(18,38*43,8))),"",INDIRECT("R9.Web!D"&amp;SUM(18,38*43,8))))</f>
        <v>Pasa</v>
      </c>
      <c r="CB27" s="75" t="str" cm="1">
        <f t="array" aca="1" ref="CB27" ca="1">IF($B27="","",IF(ISBLANK(INDIRECT("R9.Web!D"&amp;SUM(18,38*44,8))),"",INDIRECT("R9.Web!D"&amp;SUM(18,38*44,8))))</f>
        <v>N/A</v>
      </c>
      <c r="CC27" s="75" t="str" cm="1">
        <f t="array" aca="1" ref="CC27" ca="1">IF($B27="","",IF(ISBLANK(INDIRECT("R9.Web!D"&amp;SUM(18,38*45,8))),"",INDIRECT("R9.Web!D"&amp;SUM(18,38*45,8))))</f>
        <v>N/A</v>
      </c>
      <c r="CD27" s="75" t="str" cm="1">
        <f t="array" aca="1" ref="CD27" ca="1">IF($B27="","",IF(ISBLANK(INDIRECT("R9.Web!D"&amp;SUM(18,38*46,8))),"",INDIRECT("R9.Web!D"&amp;SUM(18,38*46,8))))</f>
        <v>N/A</v>
      </c>
      <c r="CE27" s="75" t="str" cm="1">
        <f t="array" aca="1" ref="CE27" ca="1">IF($B27="","",IF(ISBLANK(INDIRECT("R9.Web!D"&amp;SUM(18,38*47,8))),"",INDIRECT("R9.Web!D"&amp;SUM(18,38*47,8))))</f>
        <v>Pasa</v>
      </c>
      <c r="CF27" s="75" t="str" cm="1">
        <f t="array" aca="1" ref="CF27" ca="1">IF($B27="","",IF(ISBLANK(INDIRECT("R9.Web!D"&amp;SUM(18,38*48,8))),"",INDIRECT("R9.Web!D"&amp;SUM(18,38*48,8))))</f>
        <v>N/A</v>
      </c>
      <c r="CG27" s="75" t="str" cm="1">
        <f t="array" aca="1" ref="CG27" ca="1">IF($B27="","",IF(ISBLANK(INDIRECT("R9.Web!D"&amp;SUM(18,38*49,8))),"",INDIRECT("R9.Web!D"&amp;SUM(18,38*49,8))))</f>
        <v>Falla</v>
      </c>
      <c r="CH27" s="75" t="str" cm="1">
        <f t="array" aca="1" ref="CH27" ca="1">IF($B27="","",IF(ISBLANK(INDIRECT("R11.Software!D"&amp;SUM(18,38*0,8))),"",INDIRECT("R11.Software!D"&amp;SUM(18,38*0,8))))</f>
        <v>Falla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N/A</v>
      </c>
      <c r="CO27" s="75" t="str" cm="1">
        <f t="array" aca="1" ref="CO27" ca="1">IF($B27="","",IF(ISBLANK(INDIRECT("R12.ServiciosApoyo!D"&amp;SUM(18,38*1,8))),"",INDIRECT("R12.ServiciosApoyo!D"&amp;SUM(18,38*1,8))))</f>
        <v>N/A</v>
      </c>
      <c r="CP27" s="75" t="str" cm="1">
        <f t="array" aca="1" ref="CP27" ca="1">IF($B27="","",IF(ISBLANK(INDIRECT("R12.ServiciosApoyo!D"&amp;SUM(18,38*2,8))),"",INDIRECT("R12.ServiciosApoyo!D"&amp;SUM(18,38*2,8))))</f>
        <v>N/A</v>
      </c>
      <c r="CQ27" s="75" t="str" cm="1">
        <f t="array" aca="1" ref="CQ27" ca="1">IF($B27="","",IF(ISBLANK(INDIRECT("R12.ServiciosApoyo!D"&amp;SUM(18,38*3,8))),"",INDIRECT("R12.ServiciosApoyo!D"&amp;SUM(18,38*3,8))))</f>
        <v>N/A</v>
      </c>
      <c r="CR27" s="75" t="str" cm="1">
        <f t="array" aca="1" ref="CR27" ca="1">IF($B27="","",IF(ISBLANK(INDIRECT("R12.ServiciosApoyo!D"&amp;SUM(18,38*4,8))),"",INDIRECT("R12.ServiciosApoyo!D"&amp;SUM(18,38*4,8))))</f>
        <v>N/A</v>
      </c>
      <c r="CU27" s="76"/>
    </row>
    <row r="28" spans="2:100" ht="20.5">
      <c r="B28" s="39" cm="1">
        <f t="array" ref="B28">IFERROR(INDEX('03.Muestra'!$B$8:$B$42,SMALL(IF("Página Web"='03.Muestra'!$D$8:$D$42,ROW('03.Muestra'!$B$8:$B$42)-MIN(ROW('03.Muestra'!$D$8:$D$42))+1,""),ROW()-19)),"")</f>
        <v>9</v>
      </c>
      <c r="C28" s="73" t="str" cm="1">
        <f t="array" ref="C28">IFERROR(INDEX('03.Muestra'!$C$8:$C$42,SMALL(IF("Página Web"='03.Muestra'!$D$8:$D$42,ROW('03.Muestra'!$C$8:$C$42)-MIN(ROW('03.Muestra'!$D$8:$D$42))+1,""),ROW()-19)),"")</f>
        <v>¿Dónde voto?</v>
      </c>
      <c r="D28" s="74" t="str" cm="1">
        <f t="array" ref="D28">IFERROR(INDEX('03.Muestra'!$F$8:$F$42,SMALL(IF("Página Web"='03.Muestra'!$D$8:$D$42,ROW('03.Muestra'!$F$8:$F$42)-MIN(ROW('03.Muestra'!$D$8:$D$42))+1,""),ROW()-19)),"")</f>
        <v>https://elecciones.comunidad.madrid/es/votar/donde-voto</v>
      </c>
      <c r="E28" s="75" t="str" cm="1">
        <f t="array" aca="1" ref="E28" ca="1">IF($B28="","",IF(ISBLANK(INDIRECT("R5.Genéricos!D"&amp;SUM(18,38*0,9))),"",INDIRECT("R5.Genéricos!D"&amp;SUM(18,38*0,9))))</f>
        <v>Falla</v>
      </c>
      <c r="F28" s="75" t="str" cm="1">
        <f t="array" aca="1" ref="F28" ca="1">IF($B28="","",IF(ISBLANK(INDIRECT("R5.Genéricos!D"&amp;SUM(18,38*1,9))),"",INDIRECT("R5.Genéricos!D"&amp;SUM(18,38*1,9))))</f>
        <v>N/A</v>
      </c>
      <c r="G28" s="75" t="str" cm="1">
        <f t="array" aca="1" ref="G28" ca="1">IF($B28="","",IF(ISBLANK(INDIRECT("R5.Genéricos!D"&amp;SUM(18,38*2,9))),"",INDIRECT("R5.Genéricos!D"&amp;SUM(18,38*2,9))))</f>
        <v>N/A</v>
      </c>
      <c r="H28" s="75" t="str" cm="1">
        <f t="array" aca="1" ref="H28" ca="1">IF($B28="","",IF(ISBLANK(INDIRECT("R6.Voz!D"&amp;SUM(18,38*0,9))),"",INDIRECT("R6.Voz!D"&amp;SUM(18,38*0,9))))</f>
        <v>N/A</v>
      </c>
      <c r="I28" s="75" t="str" cm="1">
        <f t="array" aca="1" ref="I28" ca="1">IF($B28="","",IF(ISBLANK(INDIRECT("R6.Voz!D"&amp;SUM(18,38*1,9))),"",INDIRECT("R6.Voz!D"&amp;SUM(18,38*1,9))))</f>
        <v>N/A</v>
      </c>
      <c r="J28" s="75" t="str" cm="1">
        <f t="array" aca="1" ref="J28" ca="1">IF($B28="","",IF(ISBLANK(INDIRECT("R6.Voz!D"&amp;SUM(18,38*2,9))),"",INDIRECT("R6.Voz!D"&amp;SUM(18,38*2,9))))</f>
        <v>N/A</v>
      </c>
      <c r="K28" s="75" t="str" cm="1">
        <f t="array" aca="1" ref="K28" ca="1">IF($B28="","",IF(ISBLANK(INDIRECT("R6.Voz!D"&amp;SUM(18,38*3,9))),"",INDIRECT("R6.Voz!D"&amp;SUM(18,38*3,9))))</f>
        <v>N/A</v>
      </c>
      <c r="L28" s="75" t="str" cm="1">
        <f t="array" aca="1" ref="L28" ca="1">IF($B28="","",IF(ISBLANK(INDIRECT("R6.Voz!D"&amp;SUM(18,38*4,9))),"",INDIRECT("R6.Voz!D"&amp;SUM(18,38*4,9))))</f>
        <v>N/A</v>
      </c>
      <c r="M28" s="75" t="str" cm="1">
        <f t="array" aca="1" ref="M28" ca="1">IF($B28="","",IF(ISBLANK(INDIRECT("R6.Voz!D"&amp;SUM(18,38*5,9))),"",INDIRECT("R6.Voz!D"&amp;SUM(18,38*5,9))))</f>
        <v>N/A</v>
      </c>
      <c r="N28" s="75" t="str" cm="1">
        <f t="array" aca="1" ref="N28" ca="1">IF($B28="","",IF(ISBLANK(INDIRECT("R6.Voz!D"&amp;SUM(18,38*6,9))),"",INDIRECT("R6.Voz!D"&amp;SUM(18,38*6,9))))</f>
        <v>N/A</v>
      </c>
      <c r="O28" s="75" t="str" cm="1">
        <f t="array" aca="1" ref="O28" ca="1">IF($B28="","",IF(ISBLANK(INDIRECT("R6.Voz!D"&amp;SUM(18,38*7,9))),"",INDIRECT("R6.Voz!D"&amp;SUM(18,38*7,9))))</f>
        <v>N/A</v>
      </c>
      <c r="P28" s="75" t="str" cm="1">
        <f t="array" aca="1" ref="P28" ca="1">IF($B28="","",IF(ISBLANK(INDIRECT("R6.Voz!D"&amp;SUM(18,38*8,9))),"",INDIRECT("R6.Voz!D"&amp;SUM(18,38*8,9))))</f>
        <v>N/A</v>
      </c>
      <c r="Q28" s="75" t="str" cm="1">
        <f t="array" aca="1" ref="Q28" ca="1">IF($B28="","",IF(ISBLANK(INDIRECT("R6.Voz!D"&amp;SUM(18,38*9,9))),"",INDIRECT("R6.Voz!D"&amp;SUM(18,38*9,9))))</f>
        <v>N/A</v>
      </c>
      <c r="R28" s="75" t="str" cm="1">
        <f t="array" aca="1" ref="R28" ca="1">IF($B28="","",IF(ISBLANK(INDIRECT("R6.Voz!D"&amp;SUM(18,38*10,9))),"",INDIRECT("R6.Voz!D"&amp;SUM(18,38*10,9))))</f>
        <v>N/A</v>
      </c>
      <c r="S28" s="75" t="str" cm="1">
        <f t="array" aca="1" ref="S28" ca="1">IF($B28="","",IF(ISBLANK(INDIRECT("R6.Voz!D"&amp;SUM(18,38*11,9))),"",INDIRECT("R6.Voz!D"&amp;SUM(18,38*11,9))))</f>
        <v>N/A</v>
      </c>
      <c r="T28" s="75" t="str" cm="1">
        <f t="array" aca="1" ref="T28" ca="1">IF($B28="","",IF(ISBLANK(INDIRECT("R6.Voz!D"&amp;SUM(18,38*12,9))),"",INDIRECT("R6.Voz!D"&amp;SUM(18,38*12,9))))</f>
        <v>N/A</v>
      </c>
      <c r="U28" s="75" t="str" cm="1">
        <f t="array" aca="1" ref="U28" ca="1">IF($B28="","",IF(ISBLANK(INDIRECT("R6.Voz!D"&amp;SUM(18,38*13,9))),"",INDIRECT("R6.Voz!D"&amp;SUM(18,38*13,9))))</f>
        <v>N/A</v>
      </c>
      <c r="V28" s="75" t="str" cm="1">
        <f t="array" aca="1" ref="V28" ca="1">IF($B28="","",IF(ISBLANK(INDIRECT("R6.Voz!D"&amp;SUM(18,38*14,9))),"",INDIRECT("R6.Voz!D"&amp;SUM(18,38*14,9))))</f>
        <v>N/A</v>
      </c>
      <c r="W28" s="75" t="str" cm="1">
        <f t="array" aca="1" ref="W28" ca="1">IF($B28="","",IF(ISBLANK(INDIRECT("R6.Voz!D"&amp;SUM(18,38*15,9))),"",INDIRECT("R6.Voz!D"&amp;SUM(18,38*15,9))))</f>
        <v>N/A</v>
      </c>
      <c r="X28" s="75" t="str" cm="1">
        <f t="array" aca="1" ref="X28" ca="1">IF($B28="","",IF(ISBLANK(INDIRECT("R6.Voz!D"&amp;SUM(18,38*16,9))),"",INDIRECT("R6.Voz!D"&amp;SUM(18,38*16,9))))</f>
        <v>N/A</v>
      </c>
      <c r="Y28" s="75" t="str" cm="1">
        <f t="array" aca="1" ref="Y28" ca="1">IF($B28="","",IF(ISBLANK(INDIRECT("R6.Voz!D"&amp;SUM(18,38*17,9))),"",INDIRECT("R6.Voz!D"&amp;SUM(18,38*17,9))))</f>
        <v>N/A</v>
      </c>
      <c r="Z28" s="75" t="str" cm="1">
        <f t="array" aca="1" ref="Z28" ca="1">IF($B28="","",IF(ISBLANK(INDIRECT("R6.Voz!D"&amp;SUM(18,38*18,9))),"",INDIRECT("R6.Voz!D"&amp;SUM(18,38*18,9))))</f>
        <v>N/A</v>
      </c>
      <c r="AA28" s="75" t="str" cm="1">
        <f t="array" aca="1" ref="AA28" ca="1">IF($B28="","",IF(ISBLANK(INDIRECT("R7.Video!D"&amp;SUM(18,38*0,9))),"",INDIRECT("R7.Video!D"&amp;SUM(18,38*0,9))))</f>
        <v>N/A</v>
      </c>
      <c r="AB28" s="75" t="str" cm="1">
        <f t="array" aca="1" ref="AB28" ca="1">IF($B28="","",IF(ISBLANK(INDIRECT("R7.Video!D"&amp;SUM(18,38*1,9))),"",INDIRECT("R7.Video!D"&amp;SUM(18,38*1,9))))</f>
        <v>N/A</v>
      </c>
      <c r="AC28" s="75" t="str" cm="1">
        <f t="array" aca="1" ref="AC28" ca="1">IF($B28="","",IF(ISBLANK(INDIRECT("R7.Video!D"&amp;SUM(18,38*2,9))),"",INDIRECT("R7.Video!D"&amp;SUM(18,38*2,9))))</f>
        <v>N/A</v>
      </c>
      <c r="AD28" s="75" t="str" cm="1">
        <f t="array" aca="1" ref="AD28" ca="1">IF($B28="","",IF(ISBLANK(INDIRECT("R7.Video!D"&amp;SUM(18,38*3,9))),"",INDIRECT("R7.Video!D"&amp;SUM(18,38*3,9))))</f>
        <v>N/A</v>
      </c>
      <c r="AE28" s="75" t="str" cm="1">
        <f t="array" aca="1" ref="AE28" ca="1">IF($B28="","",IF(ISBLANK(INDIRECT("R7.Video!D"&amp;SUM(18,38*4,9))),"",INDIRECT("R7.Video!D"&amp;SUM(18,38*4,9))))</f>
        <v>N/A</v>
      </c>
      <c r="AF28" s="75" t="str" cm="1">
        <f t="array" aca="1" ref="AF28" ca="1">IF($B28="","",IF(ISBLANK(INDIRECT("R7.Video!D"&amp;SUM(18,38*5,9))),"",INDIRECT("R7.Video!D"&amp;SUM(18,38*5,9))))</f>
        <v>N/A</v>
      </c>
      <c r="AG28" s="75" t="str" cm="1">
        <f t="array" aca="1" ref="AG28" ca="1">IF($B28="","",IF(ISBLANK(INDIRECT("R7.Video!D"&amp;SUM(18,38*6,9))),"",INDIRECT("R7.Video!D"&amp;SUM(18,38*6,9))))</f>
        <v>N/A</v>
      </c>
      <c r="AH28" s="75" t="str" cm="1">
        <f t="array" aca="1" ref="AH28" ca="1">IF($B28="","",IF(ISBLANK(INDIRECT("R7.Video!D"&amp;SUM(18,38*7,9))),"",INDIRECT("R7.Video!D"&amp;SUM(18,38*7,9))))</f>
        <v>N/A</v>
      </c>
      <c r="AI28" s="75" t="str" cm="1">
        <f t="array" aca="1" ref="AI28" ca="1">IF($B28="","",IF(ISBLANK(INDIRECT("R7.Video!D"&amp;SUM(18,38*8,9))),"",INDIRECT("R7.Video!D"&amp;SUM(18,38*8,9))))</f>
        <v>N/A</v>
      </c>
      <c r="AJ28" s="75" t="str" cm="1">
        <f t="array" aca="1" ref="AJ28" ca="1">IF($B28="","",IF(ISBLANK(INDIRECT("R9.Web!D"&amp;SUM(18,38*0,9))),"",INDIRECT("R9.Web!D"&amp;SUM(18,38*0,9))))</f>
        <v>Pasa</v>
      </c>
      <c r="AK28" s="75" t="str" cm="1">
        <f t="array" aca="1" ref="AK28" ca="1">IF($B28="","",IF(ISBLANK(INDIRECT("R9.Web!D"&amp;SUM(18,38*1,9))),"",INDIRECT("R9.Web!D"&amp;SUM(18,38*1,9))))</f>
        <v>N/A</v>
      </c>
      <c r="AL28" s="75" t="str" cm="1">
        <f t="array" aca="1" ref="AL28" ca="1">IF($B28="","",IF(ISBLANK(INDIRECT("R9.Web!D"&amp;SUM(18,38*2,9))),"",INDIRECT("R9.Web!D"&amp;SUM(18,38*2,9))))</f>
        <v>N/A</v>
      </c>
      <c r="AM28" s="75" t="str" cm="1">
        <f t="array" aca="1" ref="AM28" ca="1">IF($B28="","",IF(ISBLANK(INDIRECT("R9.Web!D"&amp;SUM(18,38*3,9))),"",INDIRECT("R9.Web!D"&amp;SUM(18,38*3,9))))</f>
        <v>N/A</v>
      </c>
      <c r="AN28" s="75" t="str" cm="1">
        <f t="array" aca="1" ref="AN28" ca="1">IF($B28="","",IF(ISBLANK(INDIRECT("R9.Web!D"&amp;SUM(18,38*4,9))),"",INDIRECT("R9.Web!D"&amp;SUM(18,38*4,9))))</f>
        <v>N/A</v>
      </c>
      <c r="AO28" s="75" t="str" cm="1">
        <f t="array" aca="1" ref="AO28" ca="1">IF($B28="","",IF(ISBLANK(INDIRECT("R9.Web!D"&amp;SUM(18,38*5,9))),"",INDIRECT("R9.Web!D"&amp;SUM(18,38*5,9))))</f>
        <v>Falla</v>
      </c>
      <c r="AP28" s="75" t="str" cm="1">
        <f t="array" aca="1" ref="AP28" ca="1">IF($B28="","",IF(ISBLANK(INDIRECT("R9.Web!D"&amp;SUM(18,38*6,9))),"",INDIRECT("R9.Web!D"&amp;SUM(18,38*6,9))))</f>
        <v>Falla</v>
      </c>
      <c r="AQ28" s="75" t="str" cm="1">
        <f t="array" aca="1" ref="AQ28" ca="1">IF($B28="","",IF(ISBLANK(INDIRECT("R9.Web!D"&amp;SUM(18,38*7,9))),"",INDIRECT("R9.Web!D"&amp;SUM(18,38*7,9))))</f>
        <v>Falla</v>
      </c>
      <c r="AR28" s="75" t="str" cm="1">
        <f t="array" aca="1" ref="AR28" ca="1">IF($B28="","",IF(ISBLANK(INDIRECT("R9.Web!D"&amp;SUM(18,38*8,9))),"",INDIRECT("R9.Web!D"&amp;SUM(18,38*8,9))))</f>
        <v>Falla</v>
      </c>
      <c r="AS28" s="75" t="str" cm="1">
        <f t="array" aca="1" ref="AS28" ca="1">IF($B28="","",IF(ISBLANK(INDIRECT("R9.Web!D"&amp;SUM(18,38*9,9))),"",INDIRECT("R9.Web!D"&amp;SUM(18,38*9,9))))</f>
        <v>N/A</v>
      </c>
      <c r="AT28" s="75" t="str" cm="1">
        <f t="array" aca="1" ref="AT28" ca="1">IF($B28="","",IF(ISBLANK(INDIRECT("R9.Web!D"&amp;SUM(18,38*10,9))),"",INDIRECT("R9.Web!D"&amp;SUM(18,38*10,9))))</f>
        <v>Pasa</v>
      </c>
      <c r="AU28" s="75" t="str" cm="1">
        <f t="array" aca="1" ref="AU28" ca="1">IF($B28="","",IF(ISBLANK(INDIRECT("R9.Web!D"&amp;SUM(18,38*11,9))),"",INDIRECT("R9.Web!D"&amp;SUM(18,38*11,9))))</f>
        <v>N/A</v>
      </c>
      <c r="AV28" s="75" t="str" cm="1">
        <f t="array" aca="1" ref="AV28" ca="1">IF($B28="","",IF(ISBLANK(INDIRECT("R9.Web!D"&amp;SUM(18,38*12,9))),"",INDIRECT("R9.Web!D"&amp;SUM(18,38*12,9))))</f>
        <v>Pasa</v>
      </c>
      <c r="AW28" s="75" t="str" cm="1">
        <f t="array" aca="1" ref="AW28" ca="1">IF($B28="","",IF(ISBLANK(INDIRECT("R9.Web!D"&amp;SUM(18,38*13,9))),"",INDIRECT("R9.Web!D"&amp;SUM(18,38*13,9))))</f>
        <v>Falla</v>
      </c>
      <c r="AX28" s="75" t="str" cm="1">
        <f t="array" aca="1" ref="AX28" ca="1">IF($B28="","",IF(ISBLANK(INDIRECT("R9.Web!D"&amp;SUM(18,38*14,9))),"",INDIRECT("R9.Web!D"&amp;SUM(18,38*14,9))))</f>
        <v>N/A</v>
      </c>
      <c r="AY28" s="75" t="str" cm="1">
        <f t="array" aca="1" ref="AY28" ca="1">IF($B28="","",IF(ISBLANK(INDIRECT("R9.Web!D"&amp;SUM(18,38*15,9))),"",INDIRECT("R9.Web!D"&amp;SUM(18,38*15,9))))</f>
        <v>Falla</v>
      </c>
      <c r="AZ28" s="75" t="str" cm="1">
        <f t="array" aca="1" ref="AZ28" ca="1">IF($B28="","",IF(ISBLANK(INDIRECT("R9.Web!D"&amp;SUM(18,38*16,9))),"",INDIRECT("R9.Web!D"&amp;SUM(18,38*16,9))))</f>
        <v>Falla</v>
      </c>
      <c r="BA28" s="75" t="str" cm="1">
        <f t="array" aca="1" ref="BA28" ca="1">IF($B28="","",IF(ISBLANK(INDIRECT("R9.Web!D"&amp;SUM(18,38*17,9))),"",INDIRECT("R9.Web!D"&amp;SUM(18,38*17,9))))</f>
        <v>Pasa</v>
      </c>
      <c r="BB28" s="75" t="str" cm="1">
        <f t="array" aca="1" ref="BB28" ca="1">IF($B28="","",IF(ISBLANK(INDIRECT("R9.Web!D"&amp;SUM(18,38*18,9))),"",INDIRECT("R9.Web!D"&amp;SUM(18,38*18,9))))</f>
        <v>Falla</v>
      </c>
      <c r="BC28" s="75" t="str" cm="1">
        <f t="array" aca="1" ref="BC28" ca="1">IF($B28="","",IF(ISBLANK(INDIRECT("R9.Web!D"&amp;SUM(18,38*19,9))),"",INDIRECT("R9.Web!D"&amp;SUM(18,38*19,9))))</f>
        <v>Falla</v>
      </c>
      <c r="BD28" s="75" t="str" cm="1">
        <f t="array" aca="1" ref="BD28" ca="1">IF($B28="","",IF(ISBLANK(INDIRECT("R9.Web!D"&amp;SUM(18,38*20,9))),"",INDIRECT("R9.Web!D"&amp;SUM(18,38*20,9))))</f>
        <v>Pasa</v>
      </c>
      <c r="BE28" s="75" t="str" cm="1">
        <f t="array" aca="1" ref="BE28" ca="1">IF($B28="","",IF(ISBLANK(INDIRECT("R9.Web!D"&amp;SUM(18,38*21,9))),"",INDIRECT("R9.Web!D"&amp;SUM(18,38*21,9))))</f>
        <v>N/A</v>
      </c>
      <c r="BF28" s="75" t="str" cm="1">
        <f t="array" aca="1" ref="BF28" ca="1">IF($B28="","",IF(ISBLANK(INDIRECT("R9.Web!D"&amp;SUM(18,38*22,9))),"",INDIRECT("R9.Web!D"&amp;SUM(18,38*22,9))))</f>
        <v>Pasa</v>
      </c>
      <c r="BG28" s="75" t="str" cm="1">
        <f t="array" aca="1" ref="BG28" ca="1">IF($B28="","",IF(ISBLANK(INDIRECT("R9.Web!D"&amp;SUM(18,38*23,9))),"",INDIRECT("R9.Web!D"&amp;SUM(18,38*23,9))))</f>
        <v>N/A</v>
      </c>
      <c r="BH28" s="75" t="str" cm="1">
        <f t="array" aca="1" ref="BH28" ca="1">IF($B28="","",IF(ISBLANK(INDIRECT("R9.Web!D"&amp;SUM(18,38*24,9))),"",INDIRECT("R9.Web!D"&amp;SUM(18,38*24,9))))</f>
        <v>N/A</v>
      </c>
      <c r="BI28" s="75" t="str" cm="1">
        <f t="array" aca="1" ref="BI28" ca="1">IF($B28="","",IF(ISBLANK(INDIRECT("R9.Web!D"&amp;SUM(18,38*25,9))),"",INDIRECT("R9.Web!D"&amp;SUM(18,38*25,9))))</f>
        <v>Pasa</v>
      </c>
      <c r="BJ28" s="75" t="str" cm="1">
        <f t="array" aca="1" ref="BJ28" ca="1">IF($B28="","",IF(ISBLANK(INDIRECT("R9.Web!D"&amp;SUM(18,38*26,9))),"",INDIRECT("R9.Web!D"&amp;SUM(18,38*26,9))))</f>
        <v>Pasa</v>
      </c>
      <c r="BK28" s="75" t="str" cm="1">
        <f t="array" aca="1" ref="BK28" ca="1">IF($B28="","",IF(ISBLANK(INDIRECT("R9.Web!D"&amp;SUM(18,38*27,9))),"",INDIRECT("R9.Web!D"&amp;SUM(18,38*27,9))))</f>
        <v>Falla</v>
      </c>
      <c r="BL28" s="75" t="str" cm="1">
        <f t="array" aca="1" ref="BL28" ca="1">IF($B28="","",IF(ISBLANK(INDIRECT("R9.Web!D"&amp;SUM(18,38*28,9))),"",INDIRECT("R9.Web!D"&amp;SUM(18,38*28,9))))</f>
        <v>Falla</v>
      </c>
      <c r="BM28" s="75" t="str" cm="1">
        <f t="array" aca="1" ref="BM28" ca="1">IF($B28="","",IF(ISBLANK(INDIRECT("R9.Web!D"&amp;SUM(18,38*29,9))),"",INDIRECT("R9.Web!D"&amp;SUM(18,38*29,9))))</f>
        <v>Pasa</v>
      </c>
      <c r="BN28" s="75" t="str" cm="1">
        <f t="array" aca="1" ref="BN28" ca="1">IF($B28="","",IF(ISBLANK(INDIRECT("R9.Web!D"&amp;SUM(18,38*30,9))),"",INDIRECT("R9.Web!D"&amp;SUM(18,38*30,9))))</f>
        <v>Pasa</v>
      </c>
      <c r="BO28" s="75" t="str" cm="1">
        <f t="array" aca="1" ref="BO28" ca="1">IF($B28="","",IF(ISBLANK(INDIRECT("R9.Web!D"&amp;SUM(18,38*31,9))),"",INDIRECT("R9.Web!D"&amp;SUM(18,38*31,9))))</f>
        <v>Falla</v>
      </c>
      <c r="BP28" s="75" t="str" cm="1">
        <f t="array" aca="1" ref="BP28" ca="1">IF($B28="","",IF(ISBLANK(INDIRECT("R9.Web!D"&amp;SUM(18,38*32,9))),"",INDIRECT("R9.Web!D"&amp;SUM(18,38*32,9))))</f>
        <v>N/A</v>
      </c>
      <c r="BQ28" s="75" t="str" cm="1">
        <f t="array" aca="1" ref="BQ28" ca="1">IF($B28="","",IF(ISBLANK(INDIRECT("R9.Web!D"&amp;SUM(18,38*33,9))),"",INDIRECT("R9.Web!D"&amp;SUM(18,38*33,9))))</f>
        <v>Pasa</v>
      </c>
      <c r="BR28" s="75" t="str" cm="1">
        <f t="array" aca="1" ref="BR28" ca="1">IF($B28="","",IF(ISBLANK(INDIRECT("R9.Web!D"&amp;SUM(18,38*34,9))),"",INDIRECT("R9.Web!D"&amp;SUM(18,38*34,9))))</f>
        <v>Falla</v>
      </c>
      <c r="BS28" s="75" t="str" cm="1">
        <f t="array" aca="1" ref="BS28" ca="1">IF($B28="","",IF(ISBLANK(INDIRECT("R9.Web!D"&amp;SUM(18,38*35,9))),"",INDIRECT("R9.Web!D"&amp;SUM(18,38*35,9))))</f>
        <v>N/A</v>
      </c>
      <c r="BT28" s="75" t="str" cm="1">
        <f t="array" aca="1" ref="BT28" ca="1">IF($B28="","",IF(ISBLANK(INDIRECT("R9.Web!D"&amp;SUM(18,38*36,9))),"",INDIRECT("R9.Web!D"&amp;SUM(18,38*36,9))))</f>
        <v>Pasa</v>
      </c>
      <c r="BU28" s="75" t="str" cm="1">
        <f t="array" aca="1" ref="BU28" ca="1">IF($B28="","",IF(ISBLANK(INDIRECT("R9.Web!D"&amp;SUM(18,38*37,9))),"",INDIRECT("R9.Web!D"&amp;SUM(18,38*37,9))))</f>
        <v>N/A</v>
      </c>
      <c r="BV28" s="75" t="str" cm="1">
        <f t="array" aca="1" ref="BV28" ca="1">IF($B28="","",IF(ISBLANK(INDIRECT("R9.Web!D"&amp;SUM(18,38*38,9))),"",INDIRECT("R9.Web!D"&amp;SUM(18,38*38,9))))</f>
        <v>Pasa</v>
      </c>
      <c r="BW28" s="75" t="str" cm="1">
        <f t="array" aca="1" ref="BW28" ca="1">IF($B28="","",IF(ISBLANK(INDIRECT("R9.Web!D"&amp;SUM(18,38*39,9))),"",INDIRECT("R9.Web!D"&amp;SUM(18,38*39,9))))</f>
        <v>Pasa</v>
      </c>
      <c r="BX28" s="75" t="str" cm="1">
        <f t="array" aca="1" ref="BX28" ca="1">IF($B28="","",IF(ISBLANK(INDIRECT("R9.Web!D"&amp;SUM(18,38*40,9))),"",INDIRECT("R9.Web!D"&amp;SUM(18,38*40,9))))</f>
        <v>Falla</v>
      </c>
      <c r="BY28" s="75" t="str" cm="1">
        <f t="array" aca="1" ref="BY28" ca="1">IF($B28="","",IF(ISBLANK(INDIRECT("R9.Web!D"&amp;SUM(18,38*41,9))),"",INDIRECT("R9.Web!D"&amp;SUM(18,38*41,9))))</f>
        <v>Pasa</v>
      </c>
      <c r="BZ28" s="75" t="str" cm="1">
        <f t="array" aca="1" ref="BZ28" ca="1">IF($B28="","",IF(ISBLANK(INDIRECT("R9.Web!D"&amp;SUM(18,38*42,9))),"",INDIRECT("R9.Web!D"&amp;SUM(18,38*42,9))))</f>
        <v>N/A</v>
      </c>
      <c r="CA28" s="75" t="str" cm="1">
        <f t="array" aca="1" ref="CA28" ca="1">IF($B28="","",IF(ISBLANK(INDIRECT("R9.Web!D"&amp;SUM(18,38*43,9))),"",INDIRECT("R9.Web!D"&amp;SUM(18,38*43,9))))</f>
        <v>Pasa</v>
      </c>
      <c r="CB28" s="75" t="str" cm="1">
        <f t="array" aca="1" ref="CB28" ca="1">IF($B28="","",IF(ISBLANK(INDIRECT("R9.Web!D"&amp;SUM(18,38*44,9))),"",INDIRECT("R9.Web!D"&amp;SUM(18,38*44,9))))</f>
        <v>N/A</v>
      </c>
      <c r="CC28" s="75" t="str" cm="1">
        <f t="array" aca="1" ref="CC28" ca="1">IF($B28="","",IF(ISBLANK(INDIRECT("R9.Web!D"&amp;SUM(18,38*45,9))),"",INDIRECT("R9.Web!D"&amp;SUM(18,38*45,9))))</f>
        <v>N/A</v>
      </c>
      <c r="CD28" s="75" t="str" cm="1">
        <f t="array" aca="1" ref="CD28" ca="1">IF($B28="","",IF(ISBLANK(INDIRECT("R9.Web!D"&amp;SUM(18,38*46,9))),"",INDIRECT("R9.Web!D"&amp;SUM(18,38*46,9))))</f>
        <v>N/A</v>
      </c>
      <c r="CE28" s="75" t="str" cm="1">
        <f t="array" aca="1" ref="CE28" ca="1">IF($B28="","",IF(ISBLANK(INDIRECT("R9.Web!D"&amp;SUM(18,38*47,9))),"",INDIRECT("R9.Web!D"&amp;SUM(18,38*47,9))))</f>
        <v>Pasa</v>
      </c>
      <c r="CF28" s="75" t="str" cm="1">
        <f t="array" aca="1" ref="CF28" ca="1">IF($B28="","",IF(ISBLANK(INDIRECT("R9.Web!D"&amp;SUM(18,38*48,9))),"",INDIRECT("R9.Web!D"&amp;SUM(18,38*48,9))))</f>
        <v>N/A</v>
      </c>
      <c r="CG28" s="75" t="str" cm="1">
        <f t="array" aca="1" ref="CG28" ca="1">IF($B28="","",IF(ISBLANK(INDIRECT("R9.Web!D"&amp;SUM(18,38*49,9))),"",INDIRECT("R9.Web!D"&amp;SUM(18,38*49,9))))</f>
        <v>Falla</v>
      </c>
      <c r="CH28" s="75" t="str" cm="1">
        <f t="array" aca="1" ref="CH28" ca="1">IF($B28="","",IF(ISBLANK(INDIRECT("R11.Software!D"&amp;SUM(18,38*0,9))),"",INDIRECT("R11.Software!D"&amp;SUM(18,38*0,9))))</f>
        <v>Falla</v>
      </c>
      <c r="CI28" s="75" t="str" cm="1">
        <f t="array" aca="1" ref="CI28" ca="1">IF($B28="","",IF(ISBLANK(INDIRECT("R11.Software!D"&amp;SUM(18,38*1,9))),"",INDIRECT("R11.Software!D"&amp;SUM(18,38*1,9))))</f>
        <v>N/A</v>
      </c>
      <c r="CJ28" s="75" t="str" cm="1">
        <f t="array" aca="1" ref="CJ28" ca="1">IF($B28="","",IF(ISBLANK(INDIRECT("R11.Software!D"&amp;SUM(18,38*2,9))),"",INDIRECT("R11.Software!D"&amp;SUM(18,38*2,9))))</f>
        <v>N/A</v>
      </c>
      <c r="CK28" s="75" t="str" cm="1">
        <f t="array" aca="1" ref="CK28" ca="1">IF($B28="","",IF(ISBLANK(INDIRECT("R11.Software!D"&amp;SUM(18,38*3,9))),"",INDIRECT("R11.Software!D"&amp;SUM(18,38*3,9))))</f>
        <v>N/A</v>
      </c>
      <c r="CL28" s="75" t="str" cm="1">
        <f t="array" aca="1" ref="CL28" ca="1">IF($B28="","",IF(ISBLANK(INDIRECT("R11.Software!D"&amp;SUM(18,38*4,9))),"",INDIRECT("R11.Software!D"&amp;SUM(18,38*4,9))))</f>
        <v>N/A</v>
      </c>
      <c r="CM28" s="75" t="str" cm="1">
        <f t="array" aca="1" ref="CM28" ca="1">IF($B28="","",IF(ISBLANK(INDIRECT("R11.Software!D"&amp;SUM(18,38*5,9))),"",INDIRECT("R11.Software!D"&amp;SUM(18,38*5,9))))</f>
        <v>N/A</v>
      </c>
      <c r="CN28" s="75" t="str" cm="1">
        <f t="array" aca="1" ref="CN28" ca="1">IF($B28="","",IF(ISBLANK(INDIRECT("R12.ServiciosApoyo!D"&amp;SUM(18,38*0,9))),"",INDIRECT("R12.ServiciosApoyo!D"&amp;SUM(18,38*0,9))))</f>
        <v>N/A</v>
      </c>
      <c r="CO28" s="75" t="str" cm="1">
        <f t="array" aca="1" ref="CO28" ca="1">IF($B28="","",IF(ISBLANK(INDIRECT("R12.ServiciosApoyo!D"&amp;SUM(18,38*1,9))),"",INDIRECT("R12.ServiciosApoyo!D"&amp;SUM(18,38*1,9))))</f>
        <v>N/A</v>
      </c>
      <c r="CP28" s="75" t="str" cm="1">
        <f t="array" aca="1" ref="CP28" ca="1">IF($B28="","",IF(ISBLANK(INDIRECT("R12.ServiciosApoyo!D"&amp;SUM(18,38*2,9))),"",INDIRECT("R12.ServiciosApoyo!D"&amp;SUM(18,38*2,9))))</f>
        <v>N/A</v>
      </c>
      <c r="CQ28" s="75" t="str" cm="1">
        <f t="array" aca="1" ref="CQ28" ca="1">IF($B28="","",IF(ISBLANK(INDIRECT("R12.ServiciosApoyo!D"&amp;SUM(18,38*3,9))),"",INDIRECT("R12.ServiciosApoyo!D"&amp;SUM(18,38*3,9))))</f>
        <v>N/A</v>
      </c>
      <c r="CR28" s="75" t="str" cm="1">
        <f t="array" aca="1" ref="CR28" ca="1">IF($B28="","",IF(ISBLANK(INDIRECT("R12.ServiciosApoyo!D"&amp;SUM(18,38*4,9))),"",INDIRECT("R12.ServiciosApoyo!D"&amp;SUM(18,38*4,9))))</f>
        <v>N/A</v>
      </c>
      <c r="CU28" s="76"/>
    </row>
    <row r="29" spans="2:100" ht="20.5">
      <c r="B29" s="39" cm="1">
        <f t="array" ref="B29">IFERROR(INDEX('03.Muestra'!$B$8:$B$42,SMALL(IF("Página Web"='03.Muestra'!$D$8:$D$42,ROW('03.Muestra'!$B$8:$B$42)-MIN(ROW('03.Muestra'!$D$8:$D$42))+1,""),ROW()-19)),"")</f>
        <v>10</v>
      </c>
      <c r="C29" s="73" t="str" cm="1">
        <f t="array" ref="C29">IFERROR(INDEX('03.Muestra'!$C$8:$C$42,SMALL(IF("Página Web"='03.Muestra'!$D$8:$D$42,ROW('03.Muestra'!$C$8:$C$42)-MIN(ROW('03.Muestra'!$D$8:$D$42))+1,""),ROW()-19)),"")</f>
        <v>Voto presencial</v>
      </c>
      <c r="D29" s="74" t="str" cm="1">
        <f t="array" ref="D29">IFERROR(INDEX('03.Muestra'!$F$8:$F$42,SMALL(IF("Página Web"='03.Muestra'!$D$8:$D$42,ROW('03.Muestra'!$F$8:$F$42)-MIN(ROW('03.Muestra'!$D$8:$D$42))+1,""),ROW()-19)),"")</f>
        <v>https://elecciones.comunidad.madrid/es/voto-local-electoral/voto-presencial</v>
      </c>
      <c r="E29" s="75" t="str" cm="1">
        <f t="array" aca="1" ref="E29" ca="1">IF($B29="","",IF(ISBLANK(INDIRECT("R5.Genéricos!D"&amp;SUM(18,38*0,10))),"",INDIRECT("R5.Genéricos!D"&amp;SUM(18,38*0,10))))</f>
        <v>Falla</v>
      </c>
      <c r="F29" s="75" t="str" cm="1">
        <f t="array" aca="1" ref="F29" ca="1">IF($B29="","",IF(ISBLANK(INDIRECT("R5.Genéricos!D"&amp;SUM(18,38*1,10))),"",INDIRECT("R5.Genéricos!D"&amp;SUM(18,38*1,10))))</f>
        <v>N/A</v>
      </c>
      <c r="G29" s="75" t="str" cm="1">
        <f t="array" aca="1" ref="G29" ca="1">IF($B29="","",IF(ISBLANK(INDIRECT("R5.Genéricos!D"&amp;SUM(18,38*2,10))),"",INDIRECT("R5.Genéricos!D"&amp;SUM(18,38*2,10))))</f>
        <v>N/A</v>
      </c>
      <c r="H29" s="75" t="str" cm="1">
        <f t="array" aca="1" ref="H29" ca="1">IF($B29="","",IF(ISBLANK(INDIRECT("R6.Voz!D"&amp;SUM(18,38*0,10))),"",INDIRECT("R6.Voz!D"&amp;SUM(18,38*0,10))))</f>
        <v>N/A</v>
      </c>
      <c r="I29" s="75" t="str" cm="1">
        <f t="array" aca="1" ref="I29" ca="1">IF($B29="","",IF(ISBLANK(INDIRECT("R6.Voz!D"&amp;SUM(18,38*1,10))),"",INDIRECT("R6.Voz!D"&amp;SUM(18,38*1,10))))</f>
        <v>N/A</v>
      </c>
      <c r="J29" s="75" t="str" cm="1">
        <f t="array" aca="1" ref="J29" ca="1">IF($B29="","",IF(ISBLANK(INDIRECT("R6.Voz!D"&amp;SUM(18,38*2,10))),"",INDIRECT("R6.Voz!D"&amp;SUM(18,38*2,10))))</f>
        <v>N/A</v>
      </c>
      <c r="K29" s="75" t="str" cm="1">
        <f t="array" aca="1" ref="K29" ca="1">IF($B29="","",IF(ISBLANK(INDIRECT("R6.Voz!D"&amp;SUM(18,38*3,10))),"",INDIRECT("R6.Voz!D"&amp;SUM(18,38*3,10))))</f>
        <v>N/A</v>
      </c>
      <c r="L29" s="75" t="str" cm="1">
        <f t="array" aca="1" ref="L29" ca="1">IF($B29="","",IF(ISBLANK(INDIRECT("R6.Voz!D"&amp;SUM(18,38*4,10))),"",INDIRECT("R6.Voz!D"&amp;SUM(18,38*4,10))))</f>
        <v>N/A</v>
      </c>
      <c r="M29" s="75" t="str" cm="1">
        <f t="array" aca="1" ref="M29" ca="1">IF($B29="","",IF(ISBLANK(INDIRECT("R6.Voz!D"&amp;SUM(18,38*5,10))),"",INDIRECT("R6.Voz!D"&amp;SUM(18,38*5,10))))</f>
        <v>N/A</v>
      </c>
      <c r="N29" s="75" t="str" cm="1">
        <f t="array" aca="1" ref="N29" ca="1">IF($B29="","",IF(ISBLANK(INDIRECT("R6.Voz!D"&amp;SUM(18,38*6,10))),"",INDIRECT("R6.Voz!D"&amp;SUM(18,38*6,10))))</f>
        <v>N/A</v>
      </c>
      <c r="O29" s="75" t="str" cm="1">
        <f t="array" aca="1" ref="O29" ca="1">IF($B29="","",IF(ISBLANK(INDIRECT("R6.Voz!D"&amp;SUM(18,38*7,10))),"",INDIRECT("R6.Voz!D"&amp;SUM(18,38*7,10))))</f>
        <v>N/A</v>
      </c>
      <c r="P29" s="75" t="str" cm="1">
        <f t="array" aca="1" ref="P29" ca="1">IF($B29="","",IF(ISBLANK(INDIRECT("R6.Voz!D"&amp;SUM(18,38*8,10))),"",INDIRECT("R6.Voz!D"&amp;SUM(18,38*8,10))))</f>
        <v>N/A</v>
      </c>
      <c r="Q29" s="75" t="str" cm="1">
        <f t="array" aca="1" ref="Q29" ca="1">IF($B29="","",IF(ISBLANK(INDIRECT("R6.Voz!D"&amp;SUM(18,38*9,10))),"",INDIRECT("R6.Voz!D"&amp;SUM(18,38*9,10))))</f>
        <v>N/A</v>
      </c>
      <c r="R29" s="75" t="str" cm="1">
        <f t="array" aca="1" ref="R29" ca="1">IF($B29="","",IF(ISBLANK(INDIRECT("R6.Voz!D"&amp;SUM(18,38*10,10))),"",INDIRECT("R6.Voz!D"&amp;SUM(18,38*10,10))))</f>
        <v>N/A</v>
      </c>
      <c r="S29" s="75" t="str" cm="1">
        <f t="array" aca="1" ref="S29" ca="1">IF($B29="","",IF(ISBLANK(INDIRECT("R6.Voz!D"&amp;SUM(18,38*11,10))),"",INDIRECT("R6.Voz!D"&amp;SUM(18,38*11,10))))</f>
        <v>N/A</v>
      </c>
      <c r="T29" s="75" t="str" cm="1">
        <f t="array" aca="1" ref="T29" ca="1">IF($B29="","",IF(ISBLANK(INDIRECT("R6.Voz!D"&amp;SUM(18,38*12,10))),"",INDIRECT("R6.Voz!D"&amp;SUM(18,38*12,10))))</f>
        <v>N/A</v>
      </c>
      <c r="U29" s="75" t="str" cm="1">
        <f t="array" aca="1" ref="U29" ca="1">IF($B29="","",IF(ISBLANK(INDIRECT("R6.Voz!D"&amp;SUM(18,38*13,10))),"",INDIRECT("R6.Voz!D"&amp;SUM(18,38*13,10))))</f>
        <v>N/A</v>
      </c>
      <c r="V29" s="75" t="str" cm="1">
        <f t="array" aca="1" ref="V29" ca="1">IF($B29="","",IF(ISBLANK(INDIRECT("R6.Voz!D"&amp;SUM(18,38*14,10))),"",INDIRECT("R6.Voz!D"&amp;SUM(18,38*14,10))))</f>
        <v>N/A</v>
      </c>
      <c r="W29" s="75" t="str" cm="1">
        <f t="array" aca="1" ref="W29" ca="1">IF($B29="","",IF(ISBLANK(INDIRECT("R6.Voz!D"&amp;SUM(18,38*15,10))),"",INDIRECT("R6.Voz!D"&amp;SUM(18,38*15,10))))</f>
        <v>N/A</v>
      </c>
      <c r="X29" s="75" t="str" cm="1">
        <f t="array" aca="1" ref="X29" ca="1">IF($B29="","",IF(ISBLANK(INDIRECT("R6.Voz!D"&amp;SUM(18,38*16,10))),"",INDIRECT("R6.Voz!D"&amp;SUM(18,38*16,10))))</f>
        <v>N/A</v>
      </c>
      <c r="Y29" s="75" t="str" cm="1">
        <f t="array" aca="1" ref="Y29" ca="1">IF($B29="","",IF(ISBLANK(INDIRECT("R6.Voz!D"&amp;SUM(18,38*17,10))),"",INDIRECT("R6.Voz!D"&amp;SUM(18,38*17,10))))</f>
        <v>N/A</v>
      </c>
      <c r="Z29" s="75" t="str" cm="1">
        <f t="array" aca="1" ref="Z29" ca="1">IF($B29="","",IF(ISBLANK(INDIRECT("R6.Voz!D"&amp;SUM(18,38*18,10))),"",INDIRECT("R6.Voz!D"&amp;SUM(18,38*18,10))))</f>
        <v>N/A</v>
      </c>
      <c r="AA29" s="75" t="str" cm="1">
        <f t="array" aca="1" ref="AA29" ca="1">IF($B29="","",IF(ISBLANK(INDIRECT("R7.Video!D"&amp;SUM(18,38*0,10))),"",INDIRECT("R7.Video!D"&amp;SUM(18,38*0,10))))</f>
        <v>Pasa</v>
      </c>
      <c r="AB29" s="75" t="str" cm="1">
        <f t="array" aca="1" ref="AB29" ca="1">IF($B29="","",IF(ISBLANK(INDIRECT("R7.Video!D"&amp;SUM(18,38*1,10))),"",INDIRECT("R7.Video!D"&amp;SUM(18,38*1,10))))</f>
        <v>Pasa</v>
      </c>
      <c r="AC29" s="75" t="str" cm="1">
        <f t="array" aca="1" ref="AC29" ca="1">IF($B29="","",IF(ISBLANK(INDIRECT("R7.Video!D"&amp;SUM(18,38*2,10))),"",INDIRECT("R7.Video!D"&amp;SUM(18,38*2,10))))</f>
        <v>N/A</v>
      </c>
      <c r="AD29" s="75" t="str" cm="1">
        <f t="array" aca="1" ref="AD29" ca="1">IF($B29="","",IF(ISBLANK(INDIRECT("R7.Video!D"&amp;SUM(18,38*3,10))),"",INDIRECT("R7.Video!D"&amp;SUM(18,38*3,10))))</f>
        <v>N/A</v>
      </c>
      <c r="AE29" s="75" t="str" cm="1">
        <f t="array" aca="1" ref="AE29" ca="1">IF($B29="","",IF(ISBLANK(INDIRECT("R7.Video!D"&amp;SUM(18,38*4,10))),"",INDIRECT("R7.Video!D"&amp;SUM(18,38*4,10))))</f>
        <v>N/A</v>
      </c>
      <c r="AF29" s="75" t="str" cm="1">
        <f t="array" aca="1" ref="AF29" ca="1">IF($B29="","",IF(ISBLANK(INDIRECT("R7.Video!D"&amp;SUM(18,38*5,10))),"",INDIRECT("R7.Video!D"&amp;SUM(18,38*5,10))))</f>
        <v>Falla</v>
      </c>
      <c r="AG29" s="75" t="str" cm="1">
        <f t="array" aca="1" ref="AG29" ca="1">IF($B29="","",IF(ISBLANK(INDIRECT("R7.Video!D"&amp;SUM(18,38*6,10))),"",INDIRECT("R7.Video!D"&amp;SUM(18,38*6,10))))</f>
        <v>N/A</v>
      </c>
      <c r="AH29" s="75" t="str" cm="1">
        <f t="array" aca="1" ref="AH29" ca="1">IF($B29="","",IF(ISBLANK(INDIRECT("R7.Video!D"&amp;SUM(18,38*7,10))),"",INDIRECT("R7.Video!D"&amp;SUM(18,38*7,10))))</f>
        <v>N/A</v>
      </c>
      <c r="AI29" s="75" t="str" cm="1">
        <f t="array" aca="1" ref="AI29" ca="1">IF($B29="","",IF(ISBLANK(INDIRECT("R7.Video!D"&amp;SUM(18,38*8,10))),"",INDIRECT("R7.Video!D"&amp;SUM(18,38*8,10))))</f>
        <v>Falla</v>
      </c>
      <c r="AJ29" s="75" t="str" cm="1">
        <f t="array" aca="1" ref="AJ29" ca="1">IF($B29="","",IF(ISBLANK(INDIRECT("R9.Web!D"&amp;SUM(18,38*0,10))),"",INDIRECT("R9.Web!D"&amp;SUM(18,38*0,10))))</f>
        <v>Pasa</v>
      </c>
      <c r="AK29" s="75" t="str" cm="1">
        <f t="array" aca="1" ref="AK29" ca="1">IF($B29="","",IF(ISBLANK(INDIRECT("R9.Web!D"&amp;SUM(18,38*1,10))),"",INDIRECT("R9.Web!D"&amp;SUM(18,38*1,10))))</f>
        <v>N/A</v>
      </c>
      <c r="AL29" s="75" t="str" cm="1">
        <f t="array" aca="1" ref="AL29" ca="1">IF($B29="","",IF(ISBLANK(INDIRECT("R9.Web!D"&amp;SUM(18,38*2,10))),"",INDIRECT("R9.Web!D"&amp;SUM(18,38*2,10))))</f>
        <v>Pasa</v>
      </c>
      <c r="AM29" s="75" t="str" cm="1">
        <f t="array" aca="1" ref="AM29" ca="1">IF($B29="","",IF(ISBLANK(INDIRECT("R9.Web!D"&amp;SUM(18,38*3,10))),"",INDIRECT("R9.Web!D"&amp;SUM(18,38*3,10))))</f>
        <v>Falla</v>
      </c>
      <c r="AN29" s="75" t="str" cm="1">
        <f t="array" aca="1" ref="AN29" ca="1">IF($B29="","",IF(ISBLANK(INDIRECT("R9.Web!D"&amp;SUM(18,38*4,10))),"",INDIRECT("R9.Web!D"&amp;SUM(18,38*4,10))))</f>
        <v>Falla</v>
      </c>
      <c r="AO29" s="75" t="str" cm="1">
        <f t="array" aca="1" ref="AO29" ca="1">IF($B29="","",IF(ISBLANK(INDIRECT("R9.Web!D"&amp;SUM(18,38*5,10))),"",INDIRECT("R9.Web!D"&amp;SUM(18,38*5,10))))</f>
        <v>Falla</v>
      </c>
      <c r="AP29" s="75" t="str" cm="1">
        <f t="array" aca="1" ref="AP29" ca="1">IF($B29="","",IF(ISBLANK(INDIRECT("R9.Web!D"&amp;SUM(18,38*6,10))),"",INDIRECT("R9.Web!D"&amp;SUM(18,38*6,10))))</f>
        <v>Falla</v>
      </c>
      <c r="AQ29" s="75" t="str" cm="1">
        <f t="array" aca="1" ref="AQ29" ca="1">IF($B29="","",IF(ISBLANK(INDIRECT("R9.Web!D"&amp;SUM(18,38*7,10))),"",INDIRECT("R9.Web!D"&amp;SUM(18,38*7,10))))</f>
        <v>Falla</v>
      </c>
      <c r="AR29" s="75" t="str" cm="1">
        <f t="array" aca="1" ref="AR29" ca="1">IF($B29="","",IF(ISBLANK(INDIRECT("R9.Web!D"&amp;SUM(18,38*8,10))),"",INDIRECT("R9.Web!D"&amp;SUM(18,38*8,10))))</f>
        <v>Falla</v>
      </c>
      <c r="AS29" s="75" t="str" cm="1">
        <f t="array" aca="1" ref="AS29" ca="1">IF($B29="","",IF(ISBLANK(INDIRECT("R9.Web!D"&amp;SUM(18,38*9,10))),"",INDIRECT("R9.Web!D"&amp;SUM(18,38*9,10))))</f>
        <v>N/A</v>
      </c>
      <c r="AT29" s="75" t="str" cm="1">
        <f t="array" aca="1" ref="AT29" ca="1">IF($B29="","",IF(ISBLANK(INDIRECT("R9.Web!D"&amp;SUM(18,38*10,10))),"",INDIRECT("R9.Web!D"&amp;SUM(18,38*10,10))))</f>
        <v>Pasa</v>
      </c>
      <c r="AU29" s="75" t="str" cm="1">
        <f t="array" aca="1" ref="AU29" ca="1">IF($B29="","",IF(ISBLANK(INDIRECT("R9.Web!D"&amp;SUM(18,38*11,10))),"",INDIRECT("R9.Web!D"&amp;SUM(18,38*11,10))))</f>
        <v>N/A</v>
      </c>
      <c r="AV29" s="75" t="str" cm="1">
        <f t="array" aca="1" ref="AV29" ca="1">IF($B29="","",IF(ISBLANK(INDIRECT("R9.Web!D"&amp;SUM(18,38*12,10))),"",INDIRECT("R9.Web!D"&amp;SUM(18,38*12,10))))</f>
        <v>Pasa</v>
      </c>
      <c r="AW29" s="75" t="str" cm="1">
        <f t="array" aca="1" ref="AW29" ca="1">IF($B29="","",IF(ISBLANK(INDIRECT("R9.Web!D"&amp;SUM(18,38*13,10))),"",INDIRECT("R9.Web!D"&amp;SUM(18,38*13,10))))</f>
        <v>Falla</v>
      </c>
      <c r="AX29" s="75" t="str" cm="1">
        <f t="array" aca="1" ref="AX29" ca="1">IF($B29="","",IF(ISBLANK(INDIRECT("R9.Web!D"&amp;SUM(18,38*14,10))),"",INDIRECT("R9.Web!D"&amp;SUM(18,38*14,10))))</f>
        <v>N/A</v>
      </c>
      <c r="AY29" s="75" t="str" cm="1">
        <f t="array" aca="1" ref="AY29" ca="1">IF($B29="","",IF(ISBLANK(INDIRECT("R9.Web!D"&amp;SUM(18,38*15,10))),"",INDIRECT("R9.Web!D"&amp;SUM(18,38*15,10))))</f>
        <v>Falla</v>
      </c>
      <c r="AZ29" s="75" t="str" cm="1">
        <f t="array" aca="1" ref="AZ29" ca="1">IF($B29="","",IF(ISBLANK(INDIRECT("R9.Web!D"&amp;SUM(18,38*16,10))),"",INDIRECT("R9.Web!D"&amp;SUM(18,38*16,10))))</f>
        <v>Falla</v>
      </c>
      <c r="BA29" s="75" t="str" cm="1">
        <f t="array" aca="1" ref="BA29" ca="1">IF($B29="","",IF(ISBLANK(INDIRECT("R9.Web!D"&amp;SUM(18,38*17,10))),"",INDIRECT("R9.Web!D"&amp;SUM(18,38*17,10))))</f>
        <v>Pasa</v>
      </c>
      <c r="BB29" s="75" t="str" cm="1">
        <f t="array" aca="1" ref="BB29" ca="1">IF($B29="","",IF(ISBLANK(INDIRECT("R9.Web!D"&amp;SUM(18,38*18,10))),"",INDIRECT("R9.Web!D"&amp;SUM(18,38*18,10))))</f>
        <v>Falla</v>
      </c>
      <c r="BC29" s="75" t="str" cm="1">
        <f t="array" aca="1" ref="BC29" ca="1">IF($B29="","",IF(ISBLANK(INDIRECT("R9.Web!D"&amp;SUM(18,38*19,10))),"",INDIRECT("R9.Web!D"&amp;SUM(18,38*19,10))))</f>
        <v>Falla</v>
      </c>
      <c r="BD29" s="75" t="str" cm="1">
        <f t="array" aca="1" ref="BD29" ca="1">IF($B29="","",IF(ISBLANK(INDIRECT("R9.Web!D"&amp;SUM(18,38*20,10))),"",INDIRECT("R9.Web!D"&amp;SUM(18,38*20,10))))</f>
        <v>Pasa</v>
      </c>
      <c r="BE29" s="75" t="str" cm="1">
        <f t="array" aca="1" ref="BE29" ca="1">IF($B29="","",IF(ISBLANK(INDIRECT("R9.Web!D"&amp;SUM(18,38*21,10))),"",INDIRECT("R9.Web!D"&amp;SUM(18,38*21,10))))</f>
        <v>N/A</v>
      </c>
      <c r="BF29" s="75" t="str" cm="1">
        <f t="array" aca="1" ref="BF29" ca="1">IF($B29="","",IF(ISBLANK(INDIRECT("R9.Web!D"&amp;SUM(18,38*22,10))),"",INDIRECT("R9.Web!D"&amp;SUM(18,38*22,10))))</f>
        <v>Pasa</v>
      </c>
      <c r="BG29" s="75" t="str" cm="1">
        <f t="array" aca="1" ref="BG29" ca="1">IF($B29="","",IF(ISBLANK(INDIRECT("R9.Web!D"&amp;SUM(18,38*23,10))),"",INDIRECT("R9.Web!D"&amp;SUM(18,38*23,10))))</f>
        <v>N/A</v>
      </c>
      <c r="BH29" s="75" t="str" cm="1">
        <f t="array" aca="1" ref="BH29" ca="1">IF($B29="","",IF(ISBLANK(INDIRECT("R9.Web!D"&amp;SUM(18,38*24,10))),"",INDIRECT("R9.Web!D"&amp;SUM(18,38*24,10))))</f>
        <v>N/A</v>
      </c>
      <c r="BI29" s="75" t="str" cm="1">
        <f t="array" aca="1" ref="BI29" ca="1">IF($B29="","",IF(ISBLANK(INDIRECT("R9.Web!D"&amp;SUM(18,38*25,10))),"",INDIRECT("R9.Web!D"&amp;SUM(18,38*25,10))))</f>
        <v>Pasa</v>
      </c>
      <c r="BJ29" s="75" t="str" cm="1">
        <f t="array" aca="1" ref="BJ29" ca="1">IF($B29="","",IF(ISBLANK(INDIRECT("R9.Web!D"&amp;SUM(18,38*26,10))),"",INDIRECT("R9.Web!D"&amp;SUM(18,38*26,10))))</f>
        <v>Pasa</v>
      </c>
      <c r="BK29" s="75" t="str" cm="1">
        <f t="array" aca="1" ref="BK29" ca="1">IF($B29="","",IF(ISBLANK(INDIRECT("R9.Web!D"&amp;SUM(18,38*27,10))),"",INDIRECT("R9.Web!D"&amp;SUM(18,38*27,10))))</f>
        <v>Falla</v>
      </c>
      <c r="BL29" s="75" t="str" cm="1">
        <f t="array" aca="1" ref="BL29" ca="1">IF($B29="","",IF(ISBLANK(INDIRECT("R9.Web!D"&amp;SUM(18,38*28,10))),"",INDIRECT("R9.Web!D"&amp;SUM(18,38*28,10))))</f>
        <v>Falla</v>
      </c>
      <c r="BM29" s="75" t="str" cm="1">
        <f t="array" aca="1" ref="BM29" ca="1">IF($B29="","",IF(ISBLANK(INDIRECT("R9.Web!D"&amp;SUM(18,38*29,10))),"",INDIRECT("R9.Web!D"&amp;SUM(18,38*29,10))))</f>
        <v>Pasa</v>
      </c>
      <c r="BN29" s="75" t="str" cm="1">
        <f t="array" aca="1" ref="BN29" ca="1">IF($B29="","",IF(ISBLANK(INDIRECT("R9.Web!D"&amp;SUM(18,38*30,10))),"",INDIRECT("R9.Web!D"&amp;SUM(18,38*30,10))))</f>
        <v>Pasa</v>
      </c>
      <c r="BO29" s="75" t="str" cm="1">
        <f t="array" aca="1" ref="BO29" ca="1">IF($B29="","",IF(ISBLANK(INDIRECT("R9.Web!D"&amp;SUM(18,38*31,10))),"",INDIRECT("R9.Web!D"&amp;SUM(18,38*31,10))))</f>
        <v>Falla</v>
      </c>
      <c r="BP29" s="75" t="str" cm="1">
        <f t="array" aca="1" ref="BP29" ca="1">IF($B29="","",IF(ISBLANK(INDIRECT("R9.Web!D"&amp;SUM(18,38*32,10))),"",INDIRECT("R9.Web!D"&amp;SUM(18,38*32,10))))</f>
        <v>N/A</v>
      </c>
      <c r="BQ29" s="75" t="str" cm="1">
        <f t="array" aca="1" ref="BQ29" ca="1">IF($B29="","",IF(ISBLANK(INDIRECT("R9.Web!D"&amp;SUM(18,38*33,10))),"",INDIRECT("R9.Web!D"&amp;SUM(18,38*33,10))))</f>
        <v>Pasa</v>
      </c>
      <c r="BR29" s="75" t="str" cm="1">
        <f t="array" aca="1" ref="BR29" ca="1">IF($B29="","",IF(ISBLANK(INDIRECT("R9.Web!D"&amp;SUM(18,38*34,10))),"",INDIRECT("R9.Web!D"&amp;SUM(18,38*34,10))))</f>
        <v>Falla</v>
      </c>
      <c r="BS29" s="75" t="str" cm="1">
        <f t="array" aca="1" ref="BS29" ca="1">IF($B29="","",IF(ISBLANK(INDIRECT("R9.Web!D"&amp;SUM(18,38*35,10))),"",INDIRECT("R9.Web!D"&amp;SUM(18,38*35,10))))</f>
        <v>N/A</v>
      </c>
      <c r="BT29" s="75" t="str" cm="1">
        <f t="array" aca="1" ref="BT29" ca="1">IF($B29="","",IF(ISBLANK(INDIRECT("R9.Web!D"&amp;SUM(18,38*36,10))),"",INDIRECT("R9.Web!D"&amp;SUM(18,38*36,10))))</f>
        <v>Pasa</v>
      </c>
      <c r="BU29" s="75" t="str" cm="1">
        <f t="array" aca="1" ref="BU29" ca="1">IF($B29="","",IF(ISBLANK(INDIRECT("R9.Web!D"&amp;SUM(18,38*37,10))),"",INDIRECT("R9.Web!D"&amp;SUM(18,38*37,10))))</f>
        <v>N/A</v>
      </c>
      <c r="BV29" s="75" t="str" cm="1">
        <f t="array" aca="1" ref="BV29" ca="1">IF($B29="","",IF(ISBLANK(INDIRECT("R9.Web!D"&amp;SUM(18,38*38,10))),"",INDIRECT("R9.Web!D"&amp;SUM(18,38*38,10))))</f>
        <v>Pasa</v>
      </c>
      <c r="BW29" s="75" t="str" cm="1">
        <f t="array" aca="1" ref="BW29" ca="1">IF($B29="","",IF(ISBLANK(INDIRECT("R9.Web!D"&amp;SUM(18,38*39,10))),"",INDIRECT("R9.Web!D"&amp;SUM(18,38*39,10))))</f>
        <v>Pasa</v>
      </c>
      <c r="BX29" s="75" t="str" cm="1">
        <f t="array" aca="1" ref="BX29" ca="1">IF($B29="","",IF(ISBLANK(INDIRECT("R9.Web!D"&amp;SUM(18,38*40,10))),"",INDIRECT("R9.Web!D"&amp;SUM(18,38*40,10))))</f>
        <v>Pasa</v>
      </c>
      <c r="BY29" s="75" t="str" cm="1">
        <f t="array" aca="1" ref="BY29" ca="1">IF($B29="","",IF(ISBLANK(INDIRECT("R9.Web!D"&amp;SUM(18,38*41,10))),"",INDIRECT("R9.Web!D"&amp;SUM(18,38*41,10))))</f>
        <v>Pasa</v>
      </c>
      <c r="BZ29" s="75" t="str" cm="1">
        <f t="array" aca="1" ref="BZ29" ca="1">IF($B29="","",IF(ISBLANK(INDIRECT("R9.Web!D"&amp;SUM(18,38*42,10))),"",INDIRECT("R9.Web!D"&amp;SUM(18,38*42,10))))</f>
        <v>N/A</v>
      </c>
      <c r="CA29" s="75" t="str" cm="1">
        <f t="array" aca="1" ref="CA29" ca="1">IF($B29="","",IF(ISBLANK(INDIRECT("R9.Web!D"&amp;SUM(18,38*43,10))),"",INDIRECT("R9.Web!D"&amp;SUM(18,38*43,10))))</f>
        <v>Pasa</v>
      </c>
      <c r="CB29" s="75" t="str" cm="1">
        <f t="array" aca="1" ref="CB29" ca="1">IF($B29="","",IF(ISBLANK(INDIRECT("R9.Web!D"&amp;SUM(18,38*44,10))),"",INDIRECT("R9.Web!D"&amp;SUM(18,38*44,10))))</f>
        <v>N/A</v>
      </c>
      <c r="CC29" s="75" t="str" cm="1">
        <f t="array" aca="1" ref="CC29" ca="1">IF($B29="","",IF(ISBLANK(INDIRECT("R9.Web!D"&amp;SUM(18,38*45,10))),"",INDIRECT("R9.Web!D"&amp;SUM(18,38*45,10))))</f>
        <v>N/A</v>
      </c>
      <c r="CD29" s="75" t="str" cm="1">
        <f t="array" aca="1" ref="CD29" ca="1">IF($B29="","",IF(ISBLANK(INDIRECT("R9.Web!D"&amp;SUM(18,38*46,10))),"",INDIRECT("R9.Web!D"&amp;SUM(18,38*46,10))))</f>
        <v>N/A</v>
      </c>
      <c r="CE29" s="75" t="str" cm="1">
        <f t="array" aca="1" ref="CE29" ca="1">IF($B29="","",IF(ISBLANK(INDIRECT("R9.Web!D"&amp;SUM(18,38*47,10))),"",INDIRECT("R9.Web!D"&amp;SUM(18,38*47,10))))</f>
        <v>Pasa</v>
      </c>
      <c r="CF29" s="75" t="str" cm="1">
        <f t="array" aca="1" ref="CF29" ca="1">IF($B29="","",IF(ISBLANK(INDIRECT("R9.Web!D"&amp;SUM(18,38*48,10))),"",INDIRECT("R9.Web!D"&amp;SUM(18,38*48,10))))</f>
        <v>N/A</v>
      </c>
      <c r="CG29" s="75" t="str" cm="1">
        <f t="array" aca="1" ref="CG29" ca="1">IF($B29="","",IF(ISBLANK(INDIRECT("R9.Web!D"&amp;SUM(18,38*49,10))),"",INDIRECT("R9.Web!D"&amp;SUM(18,38*49,10))))</f>
        <v>Falla</v>
      </c>
      <c r="CH29" s="75" t="str" cm="1">
        <f t="array" aca="1" ref="CH29" ca="1">IF($B29="","",IF(ISBLANK(INDIRECT("R11.Software!D"&amp;SUM(18,38*0,10))),"",INDIRECT("R11.Software!D"&amp;SUM(18,38*0,10))))</f>
        <v>Falla</v>
      </c>
      <c r="CI29" s="75" t="str" cm="1">
        <f t="array" aca="1" ref="CI29" ca="1">IF($B29="","",IF(ISBLANK(INDIRECT("R11.Software!D"&amp;SUM(18,38*1,10))),"",INDIRECT("R11.Software!D"&amp;SUM(18,38*1,10))))</f>
        <v>N/A</v>
      </c>
      <c r="CJ29" s="75" t="str" cm="1">
        <f t="array" aca="1" ref="CJ29" ca="1">IF($B29="","",IF(ISBLANK(INDIRECT("R11.Software!D"&amp;SUM(18,38*2,10))),"",INDIRECT("R11.Software!D"&amp;SUM(18,38*2,10))))</f>
        <v>N/A</v>
      </c>
      <c r="CK29" s="75" t="str" cm="1">
        <f t="array" aca="1" ref="CK29" ca="1">IF($B29="","",IF(ISBLANK(INDIRECT("R11.Software!D"&amp;SUM(18,38*3,10))),"",INDIRECT("R11.Software!D"&amp;SUM(18,38*3,10))))</f>
        <v>N/A</v>
      </c>
      <c r="CL29" s="75" t="str" cm="1">
        <f t="array" aca="1" ref="CL29" ca="1">IF($B29="","",IF(ISBLANK(INDIRECT("R11.Software!D"&amp;SUM(18,38*4,10))),"",INDIRECT("R11.Software!D"&amp;SUM(18,38*4,10))))</f>
        <v>N/A</v>
      </c>
      <c r="CM29" s="75" t="str" cm="1">
        <f t="array" aca="1" ref="CM29" ca="1">IF($B29="","",IF(ISBLANK(INDIRECT("R11.Software!D"&amp;SUM(18,38*5,10))),"",INDIRECT("R11.Software!D"&amp;SUM(18,38*5,10))))</f>
        <v>N/A</v>
      </c>
      <c r="CN29" s="75" t="str" cm="1">
        <f t="array" aca="1" ref="CN29" ca="1">IF($B29="","",IF(ISBLANK(INDIRECT("R12.ServiciosApoyo!D"&amp;SUM(18,38*0,10))),"",INDIRECT("R12.ServiciosApoyo!D"&amp;SUM(18,38*0,10))))</f>
        <v>N/A</v>
      </c>
      <c r="CO29" s="75" t="str" cm="1">
        <f t="array" aca="1" ref="CO29" ca="1">IF($B29="","",IF(ISBLANK(INDIRECT("R12.ServiciosApoyo!D"&amp;SUM(18,38*1,10))),"",INDIRECT("R12.ServiciosApoyo!D"&amp;SUM(18,38*1,10))))</f>
        <v>N/A</v>
      </c>
      <c r="CP29" s="75" t="str" cm="1">
        <f t="array" aca="1" ref="CP29" ca="1">IF($B29="","",IF(ISBLANK(INDIRECT("R12.ServiciosApoyo!D"&amp;SUM(18,38*2,10))),"",INDIRECT("R12.ServiciosApoyo!D"&amp;SUM(18,38*2,10))))</f>
        <v>N/A</v>
      </c>
      <c r="CQ29" s="75" t="str" cm="1">
        <f t="array" aca="1" ref="CQ29" ca="1">IF($B29="","",IF(ISBLANK(INDIRECT("R12.ServiciosApoyo!D"&amp;SUM(18,38*3,10))),"",INDIRECT("R12.ServiciosApoyo!D"&amp;SUM(18,38*3,10))))</f>
        <v>N/A</v>
      </c>
      <c r="CR29" s="75" t="str" cm="1">
        <f t="array" aca="1" ref="CR29" ca="1">IF($B29="","",IF(ISBLANK(INDIRECT("R12.ServiciosApoyo!D"&amp;SUM(18,38*4,10))),"",INDIRECT("R12.ServiciosApoyo!D"&amp;SUM(18,38*4,10))))</f>
        <v>N/A</v>
      </c>
      <c r="CU29" s="76"/>
    </row>
    <row r="30" spans="2:100" ht="20.5">
      <c r="B30" s="39" cm="1">
        <f t="array" ref="B30">IFERROR(INDEX('03.Muestra'!$B$8:$B$42,SMALL(IF("Página Web"='03.Muestra'!$D$8:$D$42,ROW('03.Muestra'!$B$8:$B$42)-MIN(ROW('03.Muestra'!$D$8:$D$42))+1,""),ROW()-19)),"")</f>
        <v>11</v>
      </c>
      <c r="C30" s="73" t="str" cm="1">
        <f t="array" ref="C30">IFERROR(INDEX('03.Muestra'!$C$8:$C$42,SMALL(IF("Página Web"='03.Muestra'!$D$8:$D$42,ROW('03.Muestra'!$C$8:$C$42)-MIN(ROW('03.Muestra'!$D$8:$D$42))+1,""),ROW()-19)),"")</f>
        <v>Ciudadanos temporalmente en el extranjero</v>
      </c>
      <c r="D30" s="74" t="str" cm="1">
        <f t="array" ref="D30">IFERROR(INDEX('03.Muestra'!$F$8:$F$42,SMALL(IF("Página Web"='03.Muestra'!$D$8:$D$42,ROW('03.Muestra'!$F$8:$F$42)-MIN(ROW('03.Muestra'!$D$8:$D$42))+1,""),ROW()-19)),"")</f>
        <v>https://elecciones.comunidad.madrid/es/voto-correo/solicitud-voto-temporalmente-ausentes</v>
      </c>
      <c r="E30" s="75" t="str" cm="1">
        <f t="array" aca="1" ref="E30" ca="1">IF($B30="","",IF(ISBLANK(INDIRECT("R5.Genéricos!D"&amp;SUM(18,38*0,11))),"",INDIRECT("R5.Genéricos!D"&amp;SUM(18,38*0,11))))</f>
        <v>Falla</v>
      </c>
      <c r="F30" s="75" t="str" cm="1">
        <f t="array" aca="1" ref="F30" ca="1">IF($B30="","",IF(ISBLANK(INDIRECT("R5.Genéricos!D"&amp;SUM(18,38*1,11))),"",INDIRECT("R5.Genéricos!D"&amp;SUM(18,38*1,11))))</f>
        <v>N/A</v>
      </c>
      <c r="G30" s="75" t="str" cm="1">
        <f t="array" aca="1" ref="G30" ca="1">IF($B30="","",IF(ISBLANK(INDIRECT("R5.Genéricos!D"&amp;SUM(18,38*2,11))),"",INDIRECT("R5.Genéricos!D"&amp;SUM(18,38*2,11))))</f>
        <v>N/A</v>
      </c>
      <c r="H30" s="75" t="str" cm="1">
        <f t="array" aca="1" ref="H30" ca="1">IF($B30="","",IF(ISBLANK(INDIRECT("R6.Voz!D"&amp;SUM(18,38*0,11))),"",INDIRECT("R6.Voz!D"&amp;SUM(18,38*0,11))))</f>
        <v>N/A</v>
      </c>
      <c r="I30" s="75" t="str" cm="1">
        <f t="array" aca="1" ref="I30" ca="1">IF($B30="","",IF(ISBLANK(INDIRECT("R6.Voz!D"&amp;SUM(18,38*1,11))),"",INDIRECT("R6.Voz!D"&amp;SUM(18,38*1,11))))</f>
        <v>N/A</v>
      </c>
      <c r="J30" s="75" t="str" cm="1">
        <f t="array" aca="1" ref="J30" ca="1">IF($B30="","",IF(ISBLANK(INDIRECT("R6.Voz!D"&amp;SUM(18,38*2,11))),"",INDIRECT("R6.Voz!D"&amp;SUM(18,38*2,11))))</f>
        <v>N/A</v>
      </c>
      <c r="K30" s="75" t="str" cm="1">
        <f t="array" aca="1" ref="K30" ca="1">IF($B30="","",IF(ISBLANK(INDIRECT("R6.Voz!D"&amp;SUM(18,38*3,11))),"",INDIRECT("R6.Voz!D"&amp;SUM(18,38*3,11))))</f>
        <v>N/A</v>
      </c>
      <c r="L30" s="75" t="str" cm="1">
        <f t="array" aca="1" ref="L30" ca="1">IF($B30="","",IF(ISBLANK(INDIRECT("R6.Voz!D"&amp;SUM(18,38*4,11))),"",INDIRECT("R6.Voz!D"&amp;SUM(18,38*4,11))))</f>
        <v>N/A</v>
      </c>
      <c r="M30" s="75" t="str" cm="1">
        <f t="array" aca="1" ref="M30" ca="1">IF($B30="","",IF(ISBLANK(INDIRECT("R6.Voz!D"&amp;SUM(18,38*5,11))),"",INDIRECT("R6.Voz!D"&amp;SUM(18,38*5,11))))</f>
        <v>N/A</v>
      </c>
      <c r="N30" s="75" t="str" cm="1">
        <f t="array" aca="1" ref="N30" ca="1">IF($B30="","",IF(ISBLANK(INDIRECT("R6.Voz!D"&amp;SUM(18,38*6,11))),"",INDIRECT("R6.Voz!D"&amp;SUM(18,38*6,11))))</f>
        <v>N/A</v>
      </c>
      <c r="O30" s="75" t="str" cm="1">
        <f t="array" aca="1" ref="O30" ca="1">IF($B30="","",IF(ISBLANK(INDIRECT("R6.Voz!D"&amp;SUM(18,38*7,11))),"",INDIRECT("R6.Voz!D"&amp;SUM(18,38*7,11))))</f>
        <v>N/A</v>
      </c>
      <c r="P30" s="75" t="str" cm="1">
        <f t="array" aca="1" ref="P30" ca="1">IF($B30="","",IF(ISBLANK(INDIRECT("R6.Voz!D"&amp;SUM(18,38*8,11))),"",INDIRECT("R6.Voz!D"&amp;SUM(18,38*8,11))))</f>
        <v>N/A</v>
      </c>
      <c r="Q30" s="75" t="str" cm="1">
        <f t="array" aca="1" ref="Q30" ca="1">IF($B30="","",IF(ISBLANK(INDIRECT("R6.Voz!D"&amp;SUM(18,38*9,11))),"",INDIRECT("R6.Voz!D"&amp;SUM(18,38*9,11))))</f>
        <v>N/A</v>
      </c>
      <c r="R30" s="75" t="str" cm="1">
        <f t="array" aca="1" ref="R30" ca="1">IF($B30="","",IF(ISBLANK(INDIRECT("R6.Voz!D"&amp;SUM(18,38*10,11))),"",INDIRECT("R6.Voz!D"&amp;SUM(18,38*10,11))))</f>
        <v>N/A</v>
      </c>
      <c r="S30" s="75" t="str" cm="1">
        <f t="array" aca="1" ref="S30" ca="1">IF($B30="","",IF(ISBLANK(INDIRECT("R6.Voz!D"&amp;SUM(18,38*11,11))),"",INDIRECT("R6.Voz!D"&amp;SUM(18,38*11,11))))</f>
        <v>N/A</v>
      </c>
      <c r="T30" s="75" t="str" cm="1">
        <f t="array" aca="1" ref="T30" ca="1">IF($B30="","",IF(ISBLANK(INDIRECT("R6.Voz!D"&amp;SUM(18,38*12,11))),"",INDIRECT("R6.Voz!D"&amp;SUM(18,38*12,11))))</f>
        <v>N/A</v>
      </c>
      <c r="U30" s="75" t="str" cm="1">
        <f t="array" aca="1" ref="U30" ca="1">IF($B30="","",IF(ISBLANK(INDIRECT("R6.Voz!D"&amp;SUM(18,38*13,11))),"",INDIRECT("R6.Voz!D"&amp;SUM(18,38*13,11))))</f>
        <v>N/A</v>
      </c>
      <c r="V30" s="75" t="str" cm="1">
        <f t="array" aca="1" ref="V30" ca="1">IF($B30="","",IF(ISBLANK(INDIRECT("R6.Voz!D"&amp;SUM(18,38*14,11))),"",INDIRECT("R6.Voz!D"&amp;SUM(18,38*14,11))))</f>
        <v>N/A</v>
      </c>
      <c r="W30" s="75" t="str" cm="1">
        <f t="array" aca="1" ref="W30" ca="1">IF($B30="","",IF(ISBLANK(INDIRECT("R6.Voz!D"&amp;SUM(18,38*15,11))),"",INDIRECT("R6.Voz!D"&amp;SUM(18,38*15,11))))</f>
        <v>N/A</v>
      </c>
      <c r="X30" s="75" t="str" cm="1">
        <f t="array" aca="1" ref="X30" ca="1">IF($B30="","",IF(ISBLANK(INDIRECT("R6.Voz!D"&amp;SUM(18,38*16,11))),"",INDIRECT("R6.Voz!D"&amp;SUM(18,38*16,11))))</f>
        <v>N/A</v>
      </c>
      <c r="Y30" s="75" t="str" cm="1">
        <f t="array" aca="1" ref="Y30" ca="1">IF($B30="","",IF(ISBLANK(INDIRECT("R6.Voz!D"&amp;SUM(18,38*17,11))),"",INDIRECT("R6.Voz!D"&amp;SUM(18,38*17,11))))</f>
        <v>N/A</v>
      </c>
      <c r="Z30" s="75" t="str" cm="1">
        <f t="array" aca="1" ref="Z30" ca="1">IF($B30="","",IF(ISBLANK(INDIRECT("R6.Voz!D"&amp;SUM(18,38*18,11))),"",INDIRECT("R6.Voz!D"&amp;SUM(18,38*18,11))))</f>
        <v>N/A</v>
      </c>
      <c r="AA30" s="75" t="str" cm="1">
        <f t="array" aca="1" ref="AA30" ca="1">IF($B30="","",IF(ISBLANK(INDIRECT("R7.Video!D"&amp;SUM(18,38*0,11))),"",INDIRECT("R7.Video!D"&amp;SUM(18,38*0,11))))</f>
        <v>Pasa</v>
      </c>
      <c r="AB30" s="75" t="str" cm="1">
        <f t="array" aca="1" ref="AB30" ca="1">IF($B30="","",IF(ISBLANK(INDIRECT("R7.Video!D"&amp;SUM(18,38*1,11))),"",INDIRECT("R7.Video!D"&amp;SUM(18,38*1,11))))</f>
        <v>Pasa</v>
      </c>
      <c r="AC30" s="75" t="str" cm="1">
        <f t="array" aca="1" ref="AC30" ca="1">IF($B30="","",IF(ISBLANK(INDIRECT("R7.Video!D"&amp;SUM(18,38*2,11))),"",INDIRECT("R7.Video!D"&amp;SUM(18,38*2,11))))</f>
        <v>N/A</v>
      </c>
      <c r="AD30" s="75" t="str" cm="1">
        <f t="array" aca="1" ref="AD30" ca="1">IF($B30="","",IF(ISBLANK(INDIRECT("R7.Video!D"&amp;SUM(18,38*3,11))),"",INDIRECT("R7.Video!D"&amp;SUM(18,38*3,11))))</f>
        <v>N/A</v>
      </c>
      <c r="AE30" s="75" t="str" cm="1">
        <f t="array" aca="1" ref="AE30" ca="1">IF($B30="","",IF(ISBLANK(INDIRECT("R7.Video!D"&amp;SUM(18,38*4,11))),"",INDIRECT("R7.Video!D"&amp;SUM(18,38*4,11))))</f>
        <v>N/A</v>
      </c>
      <c r="AF30" s="75" t="str" cm="1">
        <f t="array" aca="1" ref="AF30" ca="1">IF($B30="","",IF(ISBLANK(INDIRECT("R7.Video!D"&amp;SUM(18,38*5,11))),"",INDIRECT("R7.Video!D"&amp;SUM(18,38*5,11))))</f>
        <v>Falla</v>
      </c>
      <c r="AG30" s="75" t="str" cm="1">
        <f t="array" aca="1" ref="AG30" ca="1">IF($B30="","",IF(ISBLANK(INDIRECT("R7.Video!D"&amp;SUM(18,38*6,11))),"",INDIRECT("R7.Video!D"&amp;SUM(18,38*6,11))))</f>
        <v>N/A</v>
      </c>
      <c r="AH30" s="75" t="str" cm="1">
        <f t="array" aca="1" ref="AH30" ca="1">IF($B30="","",IF(ISBLANK(INDIRECT("R7.Video!D"&amp;SUM(18,38*7,11))),"",INDIRECT("R7.Video!D"&amp;SUM(18,38*7,11))))</f>
        <v>N/A</v>
      </c>
      <c r="AI30" s="75" t="str" cm="1">
        <f t="array" aca="1" ref="AI30" ca="1">IF($B30="","",IF(ISBLANK(INDIRECT("R7.Video!D"&amp;SUM(18,38*8,11))),"",INDIRECT("R7.Video!D"&amp;SUM(18,38*8,11))))</f>
        <v>Falla</v>
      </c>
      <c r="AJ30" s="75" t="str" cm="1">
        <f t="array" aca="1" ref="AJ30" ca="1">IF($B30="","",IF(ISBLANK(INDIRECT("R9.Web!D"&amp;SUM(18,38*0,11))),"",INDIRECT("R9.Web!D"&amp;SUM(18,38*0,11))))</f>
        <v>Pasa</v>
      </c>
      <c r="AK30" s="75" t="str" cm="1">
        <f t="array" aca="1" ref="AK30" ca="1">IF($B30="","",IF(ISBLANK(INDIRECT("R9.Web!D"&amp;SUM(18,38*1,11))),"",INDIRECT("R9.Web!D"&amp;SUM(18,38*1,11))))</f>
        <v>N/A</v>
      </c>
      <c r="AL30" s="75" t="str" cm="1">
        <f t="array" aca="1" ref="AL30" ca="1">IF($B30="","",IF(ISBLANK(INDIRECT("R9.Web!D"&amp;SUM(18,38*2,11))),"",INDIRECT("R9.Web!D"&amp;SUM(18,38*2,11))))</f>
        <v>Pasa</v>
      </c>
      <c r="AM30" s="75" t="str" cm="1">
        <f t="array" aca="1" ref="AM30" ca="1">IF($B30="","",IF(ISBLANK(INDIRECT("R9.Web!D"&amp;SUM(18,38*3,11))),"",INDIRECT("R9.Web!D"&amp;SUM(18,38*3,11))))</f>
        <v>Falla</v>
      </c>
      <c r="AN30" s="75" t="str" cm="1">
        <f t="array" aca="1" ref="AN30" ca="1">IF($B30="","",IF(ISBLANK(INDIRECT("R9.Web!D"&amp;SUM(18,38*4,11))),"",INDIRECT("R9.Web!D"&amp;SUM(18,38*4,11))))</f>
        <v>Falla</v>
      </c>
      <c r="AO30" s="75" t="str" cm="1">
        <f t="array" aca="1" ref="AO30" ca="1">IF($B30="","",IF(ISBLANK(INDIRECT("R9.Web!D"&amp;SUM(18,38*5,11))),"",INDIRECT("R9.Web!D"&amp;SUM(18,38*5,11))))</f>
        <v>Falla</v>
      </c>
      <c r="AP30" s="75" t="str" cm="1">
        <f t="array" aca="1" ref="AP30" ca="1">IF($B30="","",IF(ISBLANK(INDIRECT("R9.Web!D"&amp;SUM(18,38*6,11))),"",INDIRECT("R9.Web!D"&amp;SUM(18,38*6,11))))</f>
        <v>Falla</v>
      </c>
      <c r="AQ30" s="75" t="str" cm="1">
        <f t="array" aca="1" ref="AQ30" ca="1">IF($B30="","",IF(ISBLANK(INDIRECT("R9.Web!D"&amp;SUM(18,38*7,11))),"",INDIRECT("R9.Web!D"&amp;SUM(18,38*7,11))))</f>
        <v>Falla</v>
      </c>
      <c r="AR30" s="75" t="str" cm="1">
        <f t="array" aca="1" ref="AR30" ca="1">IF($B30="","",IF(ISBLANK(INDIRECT("R9.Web!D"&amp;SUM(18,38*8,11))),"",INDIRECT("R9.Web!D"&amp;SUM(18,38*8,11))))</f>
        <v>Falla</v>
      </c>
      <c r="AS30" s="75" t="str" cm="1">
        <f t="array" aca="1" ref="AS30" ca="1">IF($B30="","",IF(ISBLANK(INDIRECT("R9.Web!D"&amp;SUM(18,38*9,11))),"",INDIRECT("R9.Web!D"&amp;SUM(18,38*9,11))))</f>
        <v>N/A</v>
      </c>
      <c r="AT30" s="75" t="str" cm="1">
        <f t="array" aca="1" ref="AT30" ca="1">IF($B30="","",IF(ISBLANK(INDIRECT("R9.Web!D"&amp;SUM(18,38*10,11))),"",INDIRECT("R9.Web!D"&amp;SUM(18,38*10,11))))</f>
        <v>Pasa</v>
      </c>
      <c r="AU30" s="75" t="str" cm="1">
        <f t="array" aca="1" ref="AU30" ca="1">IF($B30="","",IF(ISBLANK(INDIRECT("R9.Web!D"&amp;SUM(18,38*11,11))),"",INDIRECT("R9.Web!D"&amp;SUM(18,38*11,11))))</f>
        <v>N/A</v>
      </c>
      <c r="AV30" s="75" t="str" cm="1">
        <f t="array" aca="1" ref="AV30" ca="1">IF($B30="","",IF(ISBLANK(INDIRECT("R9.Web!D"&amp;SUM(18,38*12,11))),"",INDIRECT("R9.Web!D"&amp;SUM(18,38*12,11))))</f>
        <v>Pasa</v>
      </c>
      <c r="AW30" s="75" t="str" cm="1">
        <f t="array" aca="1" ref="AW30" ca="1">IF($B30="","",IF(ISBLANK(INDIRECT("R9.Web!D"&amp;SUM(18,38*13,11))),"",INDIRECT("R9.Web!D"&amp;SUM(18,38*13,11))))</f>
        <v>Falla</v>
      </c>
      <c r="AX30" s="75" t="str" cm="1">
        <f t="array" aca="1" ref="AX30" ca="1">IF($B30="","",IF(ISBLANK(INDIRECT("R9.Web!D"&amp;SUM(18,38*14,11))),"",INDIRECT("R9.Web!D"&amp;SUM(18,38*14,11))))</f>
        <v>N/A</v>
      </c>
      <c r="AY30" s="75" t="str" cm="1">
        <f t="array" aca="1" ref="AY30" ca="1">IF($B30="","",IF(ISBLANK(INDIRECT("R9.Web!D"&amp;SUM(18,38*15,11))),"",INDIRECT("R9.Web!D"&amp;SUM(18,38*15,11))))</f>
        <v>Falla</v>
      </c>
      <c r="AZ30" s="75" t="str" cm="1">
        <f t="array" aca="1" ref="AZ30" ca="1">IF($B30="","",IF(ISBLANK(INDIRECT("R9.Web!D"&amp;SUM(18,38*16,11))),"",INDIRECT("R9.Web!D"&amp;SUM(18,38*16,11))))</f>
        <v>Falla</v>
      </c>
      <c r="BA30" s="75" t="str" cm="1">
        <f t="array" aca="1" ref="BA30" ca="1">IF($B30="","",IF(ISBLANK(INDIRECT("R9.Web!D"&amp;SUM(18,38*17,11))),"",INDIRECT("R9.Web!D"&amp;SUM(18,38*17,11))))</f>
        <v>Pasa</v>
      </c>
      <c r="BB30" s="75" t="str" cm="1">
        <f t="array" aca="1" ref="BB30" ca="1">IF($B30="","",IF(ISBLANK(INDIRECT("R9.Web!D"&amp;SUM(18,38*18,11))),"",INDIRECT("R9.Web!D"&amp;SUM(18,38*18,11))))</f>
        <v>Falla</v>
      </c>
      <c r="BC30" s="75" t="str" cm="1">
        <f t="array" aca="1" ref="BC30" ca="1">IF($B30="","",IF(ISBLANK(INDIRECT("R9.Web!D"&amp;SUM(18,38*19,11))),"",INDIRECT("R9.Web!D"&amp;SUM(18,38*19,11))))</f>
        <v>Falla</v>
      </c>
      <c r="BD30" s="75" t="str" cm="1">
        <f t="array" aca="1" ref="BD30" ca="1">IF($B30="","",IF(ISBLANK(INDIRECT("R9.Web!D"&amp;SUM(18,38*20,11))),"",INDIRECT("R9.Web!D"&amp;SUM(18,38*20,11))))</f>
        <v>Pasa</v>
      </c>
      <c r="BE30" s="75" t="str" cm="1">
        <f t="array" aca="1" ref="BE30" ca="1">IF($B30="","",IF(ISBLANK(INDIRECT("R9.Web!D"&amp;SUM(18,38*21,11))),"",INDIRECT("R9.Web!D"&amp;SUM(18,38*21,11))))</f>
        <v>N/A</v>
      </c>
      <c r="BF30" s="75" t="str" cm="1">
        <f t="array" aca="1" ref="BF30" ca="1">IF($B30="","",IF(ISBLANK(INDIRECT("R9.Web!D"&amp;SUM(18,38*22,11))),"",INDIRECT("R9.Web!D"&amp;SUM(18,38*22,11))))</f>
        <v>Pasa</v>
      </c>
      <c r="BG30" s="75" t="str" cm="1">
        <f t="array" aca="1" ref="BG30" ca="1">IF($B30="","",IF(ISBLANK(INDIRECT("R9.Web!D"&amp;SUM(18,38*23,11))),"",INDIRECT("R9.Web!D"&amp;SUM(18,38*23,11))))</f>
        <v>N/A</v>
      </c>
      <c r="BH30" s="75" t="str" cm="1">
        <f t="array" aca="1" ref="BH30" ca="1">IF($B30="","",IF(ISBLANK(INDIRECT("R9.Web!D"&amp;SUM(18,38*24,11))),"",INDIRECT("R9.Web!D"&amp;SUM(18,38*24,11))))</f>
        <v>N/A</v>
      </c>
      <c r="BI30" s="75" t="str" cm="1">
        <f t="array" aca="1" ref="BI30" ca="1">IF($B30="","",IF(ISBLANK(INDIRECT("R9.Web!D"&amp;SUM(18,38*25,11))),"",INDIRECT("R9.Web!D"&amp;SUM(18,38*25,11))))</f>
        <v>Pasa</v>
      </c>
      <c r="BJ30" s="75" t="str" cm="1">
        <f t="array" aca="1" ref="BJ30" ca="1">IF($B30="","",IF(ISBLANK(INDIRECT("R9.Web!D"&amp;SUM(18,38*26,11))),"",INDIRECT("R9.Web!D"&amp;SUM(18,38*26,11))))</f>
        <v>Pasa</v>
      </c>
      <c r="BK30" s="75" t="str" cm="1">
        <f t="array" aca="1" ref="BK30" ca="1">IF($B30="","",IF(ISBLANK(INDIRECT("R9.Web!D"&amp;SUM(18,38*27,11))),"",INDIRECT("R9.Web!D"&amp;SUM(18,38*27,11))))</f>
        <v>Falla</v>
      </c>
      <c r="BL30" s="75" t="str" cm="1">
        <f t="array" aca="1" ref="BL30" ca="1">IF($B30="","",IF(ISBLANK(INDIRECT("R9.Web!D"&amp;SUM(18,38*28,11))),"",INDIRECT("R9.Web!D"&amp;SUM(18,38*28,11))))</f>
        <v>Falla</v>
      </c>
      <c r="BM30" s="75" t="str" cm="1">
        <f t="array" aca="1" ref="BM30" ca="1">IF($B30="","",IF(ISBLANK(INDIRECT("R9.Web!D"&amp;SUM(18,38*29,11))),"",INDIRECT("R9.Web!D"&amp;SUM(18,38*29,11))))</f>
        <v>Pasa</v>
      </c>
      <c r="BN30" s="75" t="str" cm="1">
        <f t="array" aca="1" ref="BN30" ca="1">IF($B30="","",IF(ISBLANK(INDIRECT("R9.Web!D"&amp;SUM(18,38*30,11))),"",INDIRECT("R9.Web!D"&amp;SUM(18,38*30,11))))</f>
        <v>Pasa</v>
      </c>
      <c r="BO30" s="75" t="str" cm="1">
        <f t="array" aca="1" ref="BO30" ca="1">IF($B30="","",IF(ISBLANK(INDIRECT("R9.Web!D"&amp;SUM(18,38*31,11))),"",INDIRECT("R9.Web!D"&amp;SUM(18,38*31,11))))</f>
        <v>Falla</v>
      </c>
      <c r="BP30" s="75" t="str" cm="1">
        <f t="array" aca="1" ref="BP30" ca="1">IF($B30="","",IF(ISBLANK(INDIRECT("R9.Web!D"&amp;SUM(18,38*32,11))),"",INDIRECT("R9.Web!D"&amp;SUM(18,38*32,11))))</f>
        <v>N/A</v>
      </c>
      <c r="BQ30" s="75" t="str" cm="1">
        <f t="array" aca="1" ref="BQ30" ca="1">IF($B30="","",IF(ISBLANK(INDIRECT("R9.Web!D"&amp;SUM(18,38*33,11))),"",INDIRECT("R9.Web!D"&amp;SUM(18,38*33,11))))</f>
        <v>Pasa</v>
      </c>
      <c r="BR30" s="75" t="str" cm="1">
        <f t="array" aca="1" ref="BR30" ca="1">IF($B30="","",IF(ISBLANK(INDIRECT("R9.Web!D"&amp;SUM(18,38*34,11))),"",INDIRECT("R9.Web!D"&amp;SUM(18,38*34,11))))</f>
        <v>Falla</v>
      </c>
      <c r="BS30" s="75" t="str" cm="1">
        <f t="array" aca="1" ref="BS30" ca="1">IF($B30="","",IF(ISBLANK(INDIRECT("R9.Web!D"&amp;SUM(18,38*35,11))),"",INDIRECT("R9.Web!D"&amp;SUM(18,38*35,11))))</f>
        <v>N/A</v>
      </c>
      <c r="BT30" s="75" t="str" cm="1">
        <f t="array" aca="1" ref="BT30" ca="1">IF($B30="","",IF(ISBLANK(INDIRECT("R9.Web!D"&amp;SUM(18,38*36,11))),"",INDIRECT("R9.Web!D"&amp;SUM(18,38*36,11))))</f>
        <v>Pasa</v>
      </c>
      <c r="BU30" s="75" t="str" cm="1">
        <f t="array" aca="1" ref="BU30" ca="1">IF($B30="","",IF(ISBLANK(INDIRECT("R9.Web!D"&amp;SUM(18,38*37,11))),"",INDIRECT("R9.Web!D"&amp;SUM(18,38*37,11))))</f>
        <v>N/A</v>
      </c>
      <c r="BV30" s="75" t="str" cm="1">
        <f t="array" aca="1" ref="BV30" ca="1">IF($B30="","",IF(ISBLANK(INDIRECT("R9.Web!D"&amp;SUM(18,38*38,11))),"",INDIRECT("R9.Web!D"&amp;SUM(18,38*38,11))))</f>
        <v>Pasa</v>
      </c>
      <c r="BW30" s="75" t="str" cm="1">
        <f t="array" aca="1" ref="BW30" ca="1">IF($B30="","",IF(ISBLANK(INDIRECT("R9.Web!D"&amp;SUM(18,38*39,11))),"",INDIRECT("R9.Web!D"&amp;SUM(18,38*39,11))))</f>
        <v>Pasa</v>
      </c>
      <c r="BX30" s="75" t="str" cm="1">
        <f t="array" aca="1" ref="BX30" ca="1">IF($B30="","",IF(ISBLANK(INDIRECT("R9.Web!D"&amp;SUM(18,38*40,11))),"",INDIRECT("R9.Web!D"&amp;SUM(18,38*40,11))))</f>
        <v>Falla</v>
      </c>
      <c r="BY30" s="75" t="str" cm="1">
        <f t="array" aca="1" ref="BY30" ca="1">IF($B30="","",IF(ISBLANK(INDIRECT("R9.Web!D"&amp;SUM(18,38*41,11))),"",INDIRECT("R9.Web!D"&amp;SUM(18,38*41,11))))</f>
        <v>Pasa</v>
      </c>
      <c r="BZ30" s="75" t="str" cm="1">
        <f t="array" aca="1" ref="BZ30" ca="1">IF($B30="","",IF(ISBLANK(INDIRECT("R9.Web!D"&amp;SUM(18,38*42,11))),"",INDIRECT("R9.Web!D"&amp;SUM(18,38*42,11))))</f>
        <v>N/A</v>
      </c>
      <c r="CA30" s="75" t="str" cm="1">
        <f t="array" aca="1" ref="CA30" ca="1">IF($B30="","",IF(ISBLANK(INDIRECT("R9.Web!D"&amp;SUM(18,38*43,11))),"",INDIRECT("R9.Web!D"&amp;SUM(18,38*43,11))))</f>
        <v>Pasa</v>
      </c>
      <c r="CB30" s="75" t="str" cm="1">
        <f t="array" aca="1" ref="CB30" ca="1">IF($B30="","",IF(ISBLANK(INDIRECT("R9.Web!D"&amp;SUM(18,38*44,11))),"",INDIRECT("R9.Web!D"&amp;SUM(18,38*44,11))))</f>
        <v>N/A</v>
      </c>
      <c r="CC30" s="75" t="str" cm="1">
        <f t="array" aca="1" ref="CC30" ca="1">IF($B30="","",IF(ISBLANK(INDIRECT("R9.Web!D"&amp;SUM(18,38*45,11))),"",INDIRECT("R9.Web!D"&amp;SUM(18,38*45,11))))</f>
        <v>N/A</v>
      </c>
      <c r="CD30" s="75" t="str" cm="1">
        <f t="array" aca="1" ref="CD30" ca="1">IF($B30="","",IF(ISBLANK(INDIRECT("R9.Web!D"&amp;SUM(18,38*46,11))),"",INDIRECT("R9.Web!D"&amp;SUM(18,38*46,11))))</f>
        <v>N/A</v>
      </c>
      <c r="CE30" s="75" t="str" cm="1">
        <f t="array" aca="1" ref="CE30" ca="1">IF($B30="","",IF(ISBLANK(INDIRECT("R9.Web!D"&amp;SUM(18,38*47,11))),"",INDIRECT("R9.Web!D"&amp;SUM(18,38*47,11))))</f>
        <v>Pasa</v>
      </c>
      <c r="CF30" s="75" t="str" cm="1">
        <f t="array" aca="1" ref="CF30" ca="1">IF($B30="","",IF(ISBLANK(INDIRECT("R9.Web!D"&amp;SUM(18,38*48,11))),"",INDIRECT("R9.Web!D"&amp;SUM(18,38*48,11))))</f>
        <v>N/A</v>
      </c>
      <c r="CG30" s="75" t="str" cm="1">
        <f t="array" aca="1" ref="CG30" ca="1">IF($B30="","",IF(ISBLANK(INDIRECT("R9.Web!D"&amp;SUM(18,38*49,11))),"",INDIRECT("R9.Web!D"&amp;SUM(18,38*49,11))))</f>
        <v>Falla</v>
      </c>
      <c r="CH30" s="75" t="str" cm="1">
        <f t="array" aca="1" ref="CH30" ca="1">IF($B30="","",IF(ISBLANK(INDIRECT("R11.Software!D"&amp;SUM(18,38*0,11))),"",INDIRECT("R11.Software!D"&amp;SUM(18,38*0,11))))</f>
        <v>Falla</v>
      </c>
      <c r="CI30" s="75" t="str" cm="1">
        <f t="array" aca="1" ref="CI30" ca="1">IF($B30="","",IF(ISBLANK(INDIRECT("R11.Software!D"&amp;SUM(18,38*1,11))),"",INDIRECT("R11.Software!D"&amp;SUM(18,38*1,11))))</f>
        <v>N/A</v>
      </c>
      <c r="CJ30" s="75" t="str" cm="1">
        <f t="array" aca="1" ref="CJ30" ca="1">IF($B30="","",IF(ISBLANK(INDIRECT("R11.Software!D"&amp;SUM(18,38*2,11))),"",INDIRECT("R11.Software!D"&amp;SUM(18,38*2,11))))</f>
        <v>N/A</v>
      </c>
      <c r="CK30" s="75" t="str" cm="1">
        <f t="array" aca="1" ref="CK30" ca="1">IF($B30="","",IF(ISBLANK(INDIRECT("R11.Software!D"&amp;SUM(18,38*3,11))),"",INDIRECT("R11.Software!D"&amp;SUM(18,38*3,11))))</f>
        <v>N/A</v>
      </c>
      <c r="CL30" s="75" t="str" cm="1">
        <f t="array" aca="1" ref="CL30" ca="1">IF($B30="","",IF(ISBLANK(INDIRECT("R11.Software!D"&amp;SUM(18,38*4,11))),"",INDIRECT("R11.Software!D"&amp;SUM(18,38*4,11))))</f>
        <v>N/A</v>
      </c>
      <c r="CM30" s="75" t="str" cm="1">
        <f t="array" aca="1" ref="CM30" ca="1">IF($B30="","",IF(ISBLANK(INDIRECT("R11.Software!D"&amp;SUM(18,38*5,11))),"",INDIRECT("R11.Software!D"&amp;SUM(18,38*5,11))))</f>
        <v>N/A</v>
      </c>
      <c r="CN30" s="75" t="str" cm="1">
        <f t="array" aca="1" ref="CN30" ca="1">IF($B30="","",IF(ISBLANK(INDIRECT("R12.ServiciosApoyo!D"&amp;SUM(18,38*0,11))),"",INDIRECT("R12.ServiciosApoyo!D"&amp;SUM(18,38*0,11))))</f>
        <v>N/A</v>
      </c>
      <c r="CO30" s="75" t="str" cm="1">
        <f t="array" aca="1" ref="CO30" ca="1">IF($B30="","",IF(ISBLANK(INDIRECT("R12.ServiciosApoyo!D"&amp;SUM(18,38*1,11))),"",INDIRECT("R12.ServiciosApoyo!D"&amp;SUM(18,38*1,11))))</f>
        <v>N/A</v>
      </c>
      <c r="CP30" s="75" t="str" cm="1">
        <f t="array" aca="1" ref="CP30" ca="1">IF($B30="","",IF(ISBLANK(INDIRECT("R12.ServiciosApoyo!D"&amp;SUM(18,38*2,11))),"",INDIRECT("R12.ServiciosApoyo!D"&amp;SUM(18,38*2,11))))</f>
        <v>N/A</v>
      </c>
      <c r="CQ30" s="75" t="str" cm="1">
        <f t="array" aca="1" ref="CQ30" ca="1">IF($B30="","",IF(ISBLANK(INDIRECT("R12.ServiciosApoyo!D"&amp;SUM(18,38*3,11))),"",INDIRECT("R12.ServiciosApoyo!D"&amp;SUM(18,38*3,11))))</f>
        <v>N/A</v>
      </c>
      <c r="CR30" s="75" t="str" cm="1">
        <f t="array" aca="1" ref="CR30" ca="1">IF($B30="","",IF(ISBLANK(INDIRECT("R12.ServiciosApoyo!D"&amp;SUM(18,38*4,11))),"",INDIRECT("R12.ServiciosApoyo!D"&amp;SUM(18,38*4,11))))</f>
        <v>N/A</v>
      </c>
      <c r="CU30" s="76"/>
      <c r="CV30" s="77"/>
    </row>
    <row r="31" spans="2:100" ht="20.5">
      <c r="B31" s="39" cm="1">
        <f t="array" ref="B31">IFERROR(INDEX('03.Muestra'!$B$8:$B$42,SMALL(IF("Página Web"='03.Muestra'!$D$8:$D$42,ROW('03.Muestra'!$B$8:$B$42)-MIN(ROW('03.Muestra'!$D$8:$D$42))+1,""),ROW()-19)),"")</f>
        <v>12</v>
      </c>
      <c r="C31" s="73" t="str" cm="1">
        <f t="array" ref="C31">IFERROR(INDEX('03.Muestra'!$C$8:$C$42,SMALL(IF("Página Web"='03.Muestra'!$D$8:$D$42,ROW('03.Muestra'!$C$8:$C$42)-MIN(ROW('03.Muestra'!$D$8:$D$42))+1,""),ROW()-19)),"")</f>
        <v>Nuevo votante</v>
      </c>
      <c r="D31" s="74" t="str" cm="1">
        <f t="array" ref="D31">IFERROR(INDEX('03.Muestra'!$F$8:$F$42,SMALL(IF("Página Web"='03.Muestra'!$D$8:$D$42,ROW('03.Muestra'!$F$8:$F$42)-MIN(ROW('03.Muestra'!$D$8:$D$42))+1,""),ROW()-19)),"")</f>
        <v>https://elecciones.comunidad.madrid/es/votar/nuevo-votante</v>
      </c>
      <c r="E31" s="75" t="str" cm="1">
        <f t="array" aca="1" ref="E31" ca="1">IF($B31="","",IF(ISBLANK(INDIRECT("R5.Genéricos!D"&amp;SUM(18,38*0,12))),"",INDIRECT("R5.Genéricos!D"&amp;SUM(18,38*0,12))))</f>
        <v>Falla</v>
      </c>
      <c r="F31" s="75" t="str" cm="1">
        <f t="array" aca="1" ref="F31" ca="1">IF($B31="","",IF(ISBLANK(INDIRECT("R5.Genéricos!D"&amp;SUM(18,38*1,12))),"",INDIRECT("R5.Genéricos!D"&amp;SUM(18,38*1,12))))</f>
        <v>N/A</v>
      </c>
      <c r="G31" s="75" t="str" cm="1">
        <f t="array" aca="1" ref="G31" ca="1">IF($B31="","",IF(ISBLANK(INDIRECT("R5.Genéricos!D"&amp;SUM(18,38*2,12))),"",INDIRECT("R5.Genéricos!D"&amp;SUM(18,38*2,12))))</f>
        <v>N/A</v>
      </c>
      <c r="H31" s="75" t="str" cm="1">
        <f t="array" aca="1" ref="H31" ca="1">IF($B31="","",IF(ISBLANK(INDIRECT("R6.Voz!D"&amp;SUM(18,38*0,12))),"",INDIRECT("R6.Voz!D"&amp;SUM(18,38*0,12))))</f>
        <v>N/A</v>
      </c>
      <c r="I31" s="75" t="str" cm="1">
        <f t="array" aca="1" ref="I31" ca="1">IF($B31="","",IF(ISBLANK(INDIRECT("R6.Voz!D"&amp;SUM(18,38*1,12))),"",INDIRECT("R6.Voz!D"&amp;SUM(18,38*1,12))))</f>
        <v>N/A</v>
      </c>
      <c r="J31" s="75" t="str" cm="1">
        <f t="array" aca="1" ref="J31" ca="1">IF($B31="","",IF(ISBLANK(INDIRECT("R6.Voz!D"&amp;SUM(18,38*2,12))),"",INDIRECT("R6.Voz!D"&amp;SUM(18,38*2,12))))</f>
        <v>N/A</v>
      </c>
      <c r="K31" s="75" t="str" cm="1">
        <f t="array" aca="1" ref="K31" ca="1">IF($B31="","",IF(ISBLANK(INDIRECT("R6.Voz!D"&amp;SUM(18,38*3,12))),"",INDIRECT("R6.Voz!D"&amp;SUM(18,38*3,12))))</f>
        <v>N/A</v>
      </c>
      <c r="L31" s="75" t="str" cm="1">
        <f t="array" aca="1" ref="L31" ca="1">IF($B31="","",IF(ISBLANK(INDIRECT("R6.Voz!D"&amp;SUM(18,38*4,12))),"",INDIRECT("R6.Voz!D"&amp;SUM(18,38*4,12))))</f>
        <v>N/A</v>
      </c>
      <c r="M31" s="75" t="str" cm="1">
        <f t="array" aca="1" ref="M31" ca="1">IF($B31="","",IF(ISBLANK(INDIRECT("R6.Voz!D"&amp;SUM(18,38*5,12))),"",INDIRECT("R6.Voz!D"&amp;SUM(18,38*5,12))))</f>
        <v>N/A</v>
      </c>
      <c r="N31" s="75" t="str" cm="1">
        <f t="array" aca="1" ref="N31" ca="1">IF($B31="","",IF(ISBLANK(INDIRECT("R6.Voz!D"&amp;SUM(18,38*6,12))),"",INDIRECT("R6.Voz!D"&amp;SUM(18,38*6,12))))</f>
        <v>N/A</v>
      </c>
      <c r="O31" s="75" t="str" cm="1">
        <f t="array" aca="1" ref="O31" ca="1">IF($B31="","",IF(ISBLANK(INDIRECT("R6.Voz!D"&amp;SUM(18,38*7,12))),"",INDIRECT("R6.Voz!D"&amp;SUM(18,38*7,12))))</f>
        <v>N/A</v>
      </c>
      <c r="P31" s="75" t="str" cm="1">
        <f t="array" aca="1" ref="P31" ca="1">IF($B31="","",IF(ISBLANK(INDIRECT("R6.Voz!D"&amp;SUM(18,38*8,12))),"",INDIRECT("R6.Voz!D"&amp;SUM(18,38*8,12))))</f>
        <v>N/A</v>
      </c>
      <c r="Q31" s="75" t="str" cm="1">
        <f t="array" aca="1" ref="Q31" ca="1">IF($B31="","",IF(ISBLANK(INDIRECT("R6.Voz!D"&amp;SUM(18,38*9,12))),"",INDIRECT("R6.Voz!D"&amp;SUM(18,38*9,12))))</f>
        <v>N/A</v>
      </c>
      <c r="R31" s="75" t="str" cm="1">
        <f t="array" aca="1" ref="R31" ca="1">IF($B31="","",IF(ISBLANK(INDIRECT("R6.Voz!D"&amp;SUM(18,38*10,12))),"",INDIRECT("R6.Voz!D"&amp;SUM(18,38*10,12))))</f>
        <v>N/A</v>
      </c>
      <c r="S31" s="75" t="str" cm="1">
        <f t="array" aca="1" ref="S31" ca="1">IF($B31="","",IF(ISBLANK(INDIRECT("R6.Voz!D"&amp;SUM(18,38*11,12))),"",INDIRECT("R6.Voz!D"&amp;SUM(18,38*11,12))))</f>
        <v>N/A</v>
      </c>
      <c r="T31" s="75" t="str" cm="1">
        <f t="array" aca="1" ref="T31" ca="1">IF($B31="","",IF(ISBLANK(INDIRECT("R6.Voz!D"&amp;SUM(18,38*12,12))),"",INDIRECT("R6.Voz!D"&amp;SUM(18,38*12,12))))</f>
        <v>N/A</v>
      </c>
      <c r="U31" s="75" t="str" cm="1">
        <f t="array" aca="1" ref="U31" ca="1">IF($B31="","",IF(ISBLANK(INDIRECT("R6.Voz!D"&amp;SUM(18,38*13,12))),"",INDIRECT("R6.Voz!D"&amp;SUM(18,38*13,12))))</f>
        <v>N/A</v>
      </c>
      <c r="V31" s="75" t="str" cm="1">
        <f t="array" aca="1" ref="V31" ca="1">IF($B31="","",IF(ISBLANK(INDIRECT("R6.Voz!D"&amp;SUM(18,38*14,12))),"",INDIRECT("R6.Voz!D"&amp;SUM(18,38*14,12))))</f>
        <v>N/A</v>
      </c>
      <c r="W31" s="75" t="str" cm="1">
        <f t="array" aca="1" ref="W31" ca="1">IF($B31="","",IF(ISBLANK(INDIRECT("R6.Voz!D"&amp;SUM(18,38*15,12))),"",INDIRECT("R6.Voz!D"&amp;SUM(18,38*15,12))))</f>
        <v>N/A</v>
      </c>
      <c r="X31" s="75" t="str" cm="1">
        <f t="array" aca="1" ref="X31" ca="1">IF($B31="","",IF(ISBLANK(INDIRECT("R6.Voz!D"&amp;SUM(18,38*16,12))),"",INDIRECT("R6.Voz!D"&amp;SUM(18,38*16,12))))</f>
        <v>N/A</v>
      </c>
      <c r="Y31" s="75" t="str" cm="1">
        <f t="array" aca="1" ref="Y31" ca="1">IF($B31="","",IF(ISBLANK(INDIRECT("R6.Voz!D"&amp;SUM(18,38*17,12))),"",INDIRECT("R6.Voz!D"&amp;SUM(18,38*17,12))))</f>
        <v>N/A</v>
      </c>
      <c r="Z31" s="75" t="str" cm="1">
        <f t="array" aca="1" ref="Z31" ca="1">IF($B31="","",IF(ISBLANK(INDIRECT("R6.Voz!D"&amp;SUM(18,38*18,12))),"",INDIRECT("R6.Voz!D"&amp;SUM(18,38*18,12))))</f>
        <v>N/A</v>
      </c>
      <c r="AA31" s="75" t="str" cm="1">
        <f t="array" aca="1" ref="AA31" ca="1">IF($B31="","",IF(ISBLANK(INDIRECT("R7.Video!D"&amp;SUM(18,38*0,12))),"",INDIRECT("R7.Video!D"&amp;SUM(18,38*0,12))))</f>
        <v>Pasa</v>
      </c>
      <c r="AB31" s="75" t="str" cm="1">
        <f t="array" aca="1" ref="AB31" ca="1">IF($B31="","",IF(ISBLANK(INDIRECT("R7.Video!D"&amp;SUM(18,38*1,12))),"",INDIRECT("R7.Video!D"&amp;SUM(18,38*1,12))))</f>
        <v>Pasa</v>
      </c>
      <c r="AC31" s="75" t="str" cm="1">
        <f t="array" aca="1" ref="AC31" ca="1">IF($B31="","",IF(ISBLANK(INDIRECT("R7.Video!D"&amp;SUM(18,38*2,12))),"",INDIRECT("R7.Video!D"&amp;SUM(18,38*2,12))))</f>
        <v>N/A</v>
      </c>
      <c r="AD31" s="75" t="str" cm="1">
        <f t="array" aca="1" ref="AD31" ca="1">IF($B31="","",IF(ISBLANK(INDIRECT("R7.Video!D"&amp;SUM(18,38*3,12))),"",INDIRECT("R7.Video!D"&amp;SUM(18,38*3,12))))</f>
        <v>N/A</v>
      </c>
      <c r="AE31" s="75" t="str" cm="1">
        <f t="array" aca="1" ref="AE31" ca="1">IF($B31="","",IF(ISBLANK(INDIRECT("R7.Video!D"&amp;SUM(18,38*4,12))),"",INDIRECT("R7.Video!D"&amp;SUM(18,38*4,12))))</f>
        <v>N/A</v>
      </c>
      <c r="AF31" s="75" t="str" cm="1">
        <f t="array" aca="1" ref="AF31" ca="1">IF($B31="","",IF(ISBLANK(INDIRECT("R7.Video!D"&amp;SUM(18,38*5,12))),"",INDIRECT("R7.Video!D"&amp;SUM(18,38*5,12))))</f>
        <v>Falla</v>
      </c>
      <c r="AG31" s="75" t="str" cm="1">
        <f t="array" aca="1" ref="AG31" ca="1">IF($B31="","",IF(ISBLANK(INDIRECT("R7.Video!D"&amp;SUM(18,38*6,12))),"",INDIRECT("R7.Video!D"&amp;SUM(18,38*6,12))))</f>
        <v>N/A</v>
      </c>
      <c r="AH31" s="75" t="str" cm="1">
        <f t="array" aca="1" ref="AH31" ca="1">IF($B31="","",IF(ISBLANK(INDIRECT("R7.Video!D"&amp;SUM(18,38*7,12))),"",INDIRECT("R7.Video!D"&amp;SUM(18,38*7,12))))</f>
        <v>N/A</v>
      </c>
      <c r="AI31" s="75" t="str" cm="1">
        <f t="array" aca="1" ref="AI31" ca="1">IF($B31="","",IF(ISBLANK(INDIRECT("R7.Video!D"&amp;SUM(18,38*8,12))),"",INDIRECT("R7.Video!D"&amp;SUM(18,38*8,12))))</f>
        <v>Falla</v>
      </c>
      <c r="AJ31" s="75" t="str" cm="1">
        <f t="array" aca="1" ref="AJ31" ca="1">IF($B31="","",IF(ISBLANK(INDIRECT("R9.Web!D"&amp;SUM(18,38*0,12))),"",INDIRECT("R9.Web!D"&amp;SUM(18,38*0,12))))</f>
        <v>Pasa</v>
      </c>
      <c r="AK31" s="75" t="str" cm="1">
        <f t="array" aca="1" ref="AK31" ca="1">IF($B31="","",IF(ISBLANK(INDIRECT("R9.Web!D"&amp;SUM(18,38*1,12))),"",INDIRECT("R9.Web!D"&amp;SUM(18,38*1,12))))</f>
        <v>N/A</v>
      </c>
      <c r="AL31" s="75" t="str" cm="1">
        <f t="array" aca="1" ref="AL31" ca="1">IF($B31="","",IF(ISBLANK(INDIRECT("R9.Web!D"&amp;SUM(18,38*2,12))),"",INDIRECT("R9.Web!D"&amp;SUM(18,38*2,12))))</f>
        <v>Pasa</v>
      </c>
      <c r="AM31" s="75" t="str" cm="1">
        <f t="array" aca="1" ref="AM31" ca="1">IF($B31="","",IF(ISBLANK(INDIRECT("R9.Web!D"&amp;SUM(18,38*3,12))),"",INDIRECT("R9.Web!D"&amp;SUM(18,38*3,12))))</f>
        <v>Falla</v>
      </c>
      <c r="AN31" s="75" t="str" cm="1">
        <f t="array" aca="1" ref="AN31" ca="1">IF($B31="","",IF(ISBLANK(INDIRECT("R9.Web!D"&amp;SUM(18,38*4,12))),"",INDIRECT("R9.Web!D"&amp;SUM(18,38*4,12))))</f>
        <v>Falla</v>
      </c>
      <c r="AO31" s="75" t="str" cm="1">
        <f t="array" aca="1" ref="AO31" ca="1">IF($B31="","",IF(ISBLANK(INDIRECT("R9.Web!D"&amp;SUM(18,38*5,12))),"",INDIRECT("R9.Web!D"&amp;SUM(18,38*5,12))))</f>
        <v>Falla</v>
      </c>
      <c r="AP31" s="75" t="str" cm="1">
        <f t="array" aca="1" ref="AP31" ca="1">IF($B31="","",IF(ISBLANK(INDIRECT("R9.Web!D"&amp;SUM(18,38*6,12))),"",INDIRECT("R9.Web!D"&amp;SUM(18,38*6,12))))</f>
        <v>Falla</v>
      </c>
      <c r="AQ31" s="75" t="str" cm="1">
        <f t="array" aca="1" ref="AQ31" ca="1">IF($B31="","",IF(ISBLANK(INDIRECT("R9.Web!D"&amp;SUM(18,38*7,12))),"",INDIRECT("R9.Web!D"&amp;SUM(18,38*7,12))))</f>
        <v>Falla</v>
      </c>
      <c r="AR31" s="75" t="str" cm="1">
        <f t="array" aca="1" ref="AR31" ca="1">IF($B31="","",IF(ISBLANK(INDIRECT("R9.Web!D"&amp;SUM(18,38*8,12))),"",INDIRECT("R9.Web!D"&amp;SUM(18,38*8,12))))</f>
        <v>Falla</v>
      </c>
      <c r="AS31" s="75" t="str" cm="1">
        <f t="array" aca="1" ref="AS31" ca="1">IF($B31="","",IF(ISBLANK(INDIRECT("R9.Web!D"&amp;SUM(18,38*9,12))),"",INDIRECT("R9.Web!D"&amp;SUM(18,38*9,12))))</f>
        <v>N/A</v>
      </c>
      <c r="AT31" s="75" t="str" cm="1">
        <f t="array" aca="1" ref="AT31" ca="1">IF($B31="","",IF(ISBLANK(INDIRECT("R9.Web!D"&amp;SUM(18,38*10,12))),"",INDIRECT("R9.Web!D"&amp;SUM(18,38*10,12))))</f>
        <v>Pasa</v>
      </c>
      <c r="AU31" s="75" t="str" cm="1">
        <f t="array" aca="1" ref="AU31" ca="1">IF($B31="","",IF(ISBLANK(INDIRECT("R9.Web!D"&amp;SUM(18,38*11,12))),"",INDIRECT("R9.Web!D"&amp;SUM(18,38*11,12))))</f>
        <v>N/A</v>
      </c>
      <c r="AV31" s="75" t="str" cm="1">
        <f t="array" aca="1" ref="AV31" ca="1">IF($B31="","",IF(ISBLANK(INDIRECT("R9.Web!D"&amp;SUM(18,38*12,12))),"",INDIRECT("R9.Web!D"&amp;SUM(18,38*12,12))))</f>
        <v>Pasa</v>
      </c>
      <c r="AW31" s="75" t="str" cm="1">
        <f t="array" aca="1" ref="AW31" ca="1">IF($B31="","",IF(ISBLANK(INDIRECT("R9.Web!D"&amp;SUM(18,38*13,12))),"",INDIRECT("R9.Web!D"&amp;SUM(18,38*13,12))))</f>
        <v>Falla</v>
      </c>
      <c r="AX31" s="75" t="str" cm="1">
        <f t="array" aca="1" ref="AX31" ca="1">IF($B31="","",IF(ISBLANK(INDIRECT("R9.Web!D"&amp;SUM(18,38*14,12))),"",INDIRECT("R9.Web!D"&amp;SUM(18,38*14,12))))</f>
        <v>N/A</v>
      </c>
      <c r="AY31" s="75" t="str" cm="1">
        <f t="array" aca="1" ref="AY31" ca="1">IF($B31="","",IF(ISBLANK(INDIRECT("R9.Web!D"&amp;SUM(18,38*15,12))),"",INDIRECT("R9.Web!D"&amp;SUM(18,38*15,12))))</f>
        <v>Falla</v>
      </c>
      <c r="AZ31" s="75" t="str" cm="1">
        <f t="array" aca="1" ref="AZ31" ca="1">IF($B31="","",IF(ISBLANK(INDIRECT("R9.Web!D"&amp;SUM(18,38*16,12))),"",INDIRECT("R9.Web!D"&amp;SUM(18,38*16,12))))</f>
        <v>Falla</v>
      </c>
      <c r="BA31" s="75" t="str" cm="1">
        <f t="array" aca="1" ref="BA31" ca="1">IF($B31="","",IF(ISBLANK(INDIRECT("R9.Web!D"&amp;SUM(18,38*17,12))),"",INDIRECT("R9.Web!D"&amp;SUM(18,38*17,12))))</f>
        <v>Pasa</v>
      </c>
      <c r="BB31" s="75" t="str" cm="1">
        <f t="array" aca="1" ref="BB31" ca="1">IF($B31="","",IF(ISBLANK(INDIRECT("R9.Web!D"&amp;SUM(18,38*18,12))),"",INDIRECT("R9.Web!D"&amp;SUM(18,38*18,12))))</f>
        <v>Falla</v>
      </c>
      <c r="BC31" s="75" t="str" cm="1">
        <f t="array" aca="1" ref="BC31" ca="1">IF($B31="","",IF(ISBLANK(INDIRECT("R9.Web!D"&amp;SUM(18,38*19,12))),"",INDIRECT("R9.Web!D"&amp;SUM(18,38*19,12))))</f>
        <v>Falla</v>
      </c>
      <c r="BD31" s="75" t="str" cm="1">
        <f t="array" aca="1" ref="BD31" ca="1">IF($B31="","",IF(ISBLANK(INDIRECT("R9.Web!D"&amp;SUM(18,38*20,12))),"",INDIRECT("R9.Web!D"&amp;SUM(18,38*20,12))))</f>
        <v>Pasa</v>
      </c>
      <c r="BE31" s="75" t="str" cm="1">
        <f t="array" aca="1" ref="BE31" ca="1">IF($B31="","",IF(ISBLANK(INDIRECT("R9.Web!D"&amp;SUM(18,38*21,12))),"",INDIRECT("R9.Web!D"&amp;SUM(18,38*21,12))))</f>
        <v>N/A</v>
      </c>
      <c r="BF31" s="75" t="str" cm="1">
        <f t="array" aca="1" ref="BF31" ca="1">IF($B31="","",IF(ISBLANK(INDIRECT("R9.Web!D"&amp;SUM(18,38*22,12))),"",INDIRECT("R9.Web!D"&amp;SUM(18,38*22,12))))</f>
        <v>Pasa</v>
      </c>
      <c r="BG31" s="75" t="str" cm="1">
        <f t="array" aca="1" ref="BG31" ca="1">IF($B31="","",IF(ISBLANK(INDIRECT("R9.Web!D"&amp;SUM(18,38*23,12))),"",INDIRECT("R9.Web!D"&amp;SUM(18,38*23,12))))</f>
        <v>N/A</v>
      </c>
      <c r="BH31" s="75" t="str" cm="1">
        <f t="array" aca="1" ref="BH31" ca="1">IF($B31="","",IF(ISBLANK(INDIRECT("R9.Web!D"&amp;SUM(18,38*24,12))),"",INDIRECT("R9.Web!D"&amp;SUM(18,38*24,12))))</f>
        <v>N/A</v>
      </c>
      <c r="BI31" s="75" t="str" cm="1">
        <f t="array" aca="1" ref="BI31" ca="1">IF($B31="","",IF(ISBLANK(INDIRECT("R9.Web!D"&amp;SUM(18,38*25,12))),"",INDIRECT("R9.Web!D"&amp;SUM(18,38*25,12))))</f>
        <v>Pasa</v>
      </c>
      <c r="BJ31" s="75" t="str" cm="1">
        <f t="array" aca="1" ref="BJ31" ca="1">IF($B31="","",IF(ISBLANK(INDIRECT("R9.Web!D"&amp;SUM(18,38*26,12))),"",INDIRECT("R9.Web!D"&amp;SUM(18,38*26,12))))</f>
        <v>Pasa</v>
      </c>
      <c r="BK31" s="75" t="str" cm="1">
        <f t="array" aca="1" ref="BK31" ca="1">IF($B31="","",IF(ISBLANK(INDIRECT("R9.Web!D"&amp;SUM(18,38*27,12))),"",INDIRECT("R9.Web!D"&amp;SUM(18,38*27,12))))</f>
        <v>Falla</v>
      </c>
      <c r="BL31" s="75" t="str" cm="1">
        <f t="array" aca="1" ref="BL31" ca="1">IF($B31="","",IF(ISBLANK(INDIRECT("R9.Web!D"&amp;SUM(18,38*28,12))),"",INDIRECT("R9.Web!D"&amp;SUM(18,38*28,12))))</f>
        <v>Falla</v>
      </c>
      <c r="BM31" s="75" t="str" cm="1">
        <f t="array" aca="1" ref="BM31" ca="1">IF($B31="","",IF(ISBLANK(INDIRECT("R9.Web!D"&amp;SUM(18,38*29,12))),"",INDIRECT("R9.Web!D"&amp;SUM(18,38*29,12))))</f>
        <v>Pasa</v>
      </c>
      <c r="BN31" s="75" t="str" cm="1">
        <f t="array" aca="1" ref="BN31" ca="1">IF($B31="","",IF(ISBLANK(INDIRECT("R9.Web!D"&amp;SUM(18,38*30,12))),"",INDIRECT("R9.Web!D"&amp;SUM(18,38*30,12))))</f>
        <v>Pasa</v>
      </c>
      <c r="BO31" s="75" t="str" cm="1">
        <f t="array" aca="1" ref="BO31" ca="1">IF($B31="","",IF(ISBLANK(INDIRECT("R9.Web!D"&amp;SUM(18,38*31,12))),"",INDIRECT("R9.Web!D"&amp;SUM(18,38*31,12))))</f>
        <v>Falla</v>
      </c>
      <c r="BP31" s="75" t="str" cm="1">
        <f t="array" aca="1" ref="BP31" ca="1">IF($B31="","",IF(ISBLANK(INDIRECT("R9.Web!D"&amp;SUM(18,38*32,12))),"",INDIRECT("R9.Web!D"&amp;SUM(18,38*32,12))))</f>
        <v>N/A</v>
      </c>
      <c r="BQ31" s="75" t="str" cm="1">
        <f t="array" aca="1" ref="BQ31" ca="1">IF($B31="","",IF(ISBLANK(INDIRECT("R9.Web!D"&amp;SUM(18,38*33,12))),"",INDIRECT("R9.Web!D"&amp;SUM(18,38*33,12))))</f>
        <v>Pasa</v>
      </c>
      <c r="BR31" s="75" t="str" cm="1">
        <f t="array" aca="1" ref="BR31" ca="1">IF($B31="","",IF(ISBLANK(INDIRECT("R9.Web!D"&amp;SUM(18,38*34,12))),"",INDIRECT("R9.Web!D"&amp;SUM(18,38*34,12))))</f>
        <v>Falla</v>
      </c>
      <c r="BS31" s="75" t="str" cm="1">
        <f t="array" aca="1" ref="BS31" ca="1">IF($B31="","",IF(ISBLANK(INDIRECT("R9.Web!D"&amp;SUM(18,38*35,12))),"",INDIRECT("R9.Web!D"&amp;SUM(18,38*35,12))))</f>
        <v>N/A</v>
      </c>
      <c r="BT31" s="75" t="str" cm="1">
        <f t="array" aca="1" ref="BT31" ca="1">IF($B31="","",IF(ISBLANK(INDIRECT("R9.Web!D"&amp;SUM(18,38*36,12))),"",INDIRECT("R9.Web!D"&amp;SUM(18,38*36,12))))</f>
        <v>Pasa</v>
      </c>
      <c r="BU31" s="75" t="str" cm="1">
        <f t="array" aca="1" ref="BU31" ca="1">IF($B31="","",IF(ISBLANK(INDIRECT("R9.Web!D"&amp;SUM(18,38*37,12))),"",INDIRECT("R9.Web!D"&amp;SUM(18,38*37,12))))</f>
        <v>N/A</v>
      </c>
      <c r="BV31" s="75" t="str" cm="1">
        <f t="array" aca="1" ref="BV31" ca="1">IF($B31="","",IF(ISBLANK(INDIRECT("R9.Web!D"&amp;SUM(18,38*38,12))),"",INDIRECT("R9.Web!D"&amp;SUM(18,38*38,12))))</f>
        <v>Pasa</v>
      </c>
      <c r="BW31" s="75" t="str" cm="1">
        <f t="array" aca="1" ref="BW31" ca="1">IF($B31="","",IF(ISBLANK(INDIRECT("R9.Web!D"&amp;SUM(18,38*39,12))),"",INDIRECT("R9.Web!D"&amp;SUM(18,38*39,12))))</f>
        <v>Pasa</v>
      </c>
      <c r="BX31" s="75" t="str" cm="1">
        <f t="array" aca="1" ref="BX31" ca="1">IF($B31="","",IF(ISBLANK(INDIRECT("R9.Web!D"&amp;SUM(18,38*40,12))),"",INDIRECT("R9.Web!D"&amp;SUM(18,38*40,12))))</f>
        <v>Pasa</v>
      </c>
      <c r="BY31" s="75" t="str" cm="1">
        <f t="array" aca="1" ref="BY31" ca="1">IF($B31="","",IF(ISBLANK(INDIRECT("R9.Web!D"&amp;SUM(18,38*41,12))),"",INDIRECT("R9.Web!D"&amp;SUM(18,38*41,12))))</f>
        <v>Pasa</v>
      </c>
      <c r="BZ31" s="75" t="str" cm="1">
        <f t="array" aca="1" ref="BZ31" ca="1">IF($B31="","",IF(ISBLANK(INDIRECT("R9.Web!D"&amp;SUM(18,38*42,12))),"",INDIRECT("R9.Web!D"&amp;SUM(18,38*42,12))))</f>
        <v>N/A</v>
      </c>
      <c r="CA31" s="75" t="str" cm="1">
        <f t="array" aca="1" ref="CA31" ca="1">IF($B31="","",IF(ISBLANK(INDIRECT("R9.Web!D"&amp;SUM(18,38*43,12))),"",INDIRECT("R9.Web!D"&amp;SUM(18,38*43,12))))</f>
        <v>Pasa</v>
      </c>
      <c r="CB31" s="75" t="str" cm="1">
        <f t="array" aca="1" ref="CB31" ca="1">IF($B31="","",IF(ISBLANK(INDIRECT("R9.Web!D"&amp;SUM(18,38*44,12))),"",INDIRECT("R9.Web!D"&amp;SUM(18,38*44,12))))</f>
        <v>N/A</v>
      </c>
      <c r="CC31" s="75" t="str" cm="1">
        <f t="array" aca="1" ref="CC31" ca="1">IF($B31="","",IF(ISBLANK(INDIRECT("R9.Web!D"&amp;SUM(18,38*45,12))),"",INDIRECT("R9.Web!D"&amp;SUM(18,38*45,12))))</f>
        <v>N/A</v>
      </c>
      <c r="CD31" s="75" t="str" cm="1">
        <f t="array" aca="1" ref="CD31" ca="1">IF($B31="","",IF(ISBLANK(INDIRECT("R9.Web!D"&amp;SUM(18,38*46,12))),"",INDIRECT("R9.Web!D"&amp;SUM(18,38*46,12))))</f>
        <v>N/A</v>
      </c>
      <c r="CE31" s="75" t="str" cm="1">
        <f t="array" aca="1" ref="CE31" ca="1">IF($B31="","",IF(ISBLANK(INDIRECT("R9.Web!D"&amp;SUM(18,38*47,12))),"",INDIRECT("R9.Web!D"&amp;SUM(18,38*47,12))))</f>
        <v>Pasa</v>
      </c>
      <c r="CF31" s="75" t="str" cm="1">
        <f t="array" aca="1" ref="CF31" ca="1">IF($B31="","",IF(ISBLANK(INDIRECT("R9.Web!D"&amp;SUM(18,38*48,12))),"",INDIRECT("R9.Web!D"&amp;SUM(18,38*48,12))))</f>
        <v>N/A</v>
      </c>
      <c r="CG31" s="75" t="str" cm="1">
        <f t="array" aca="1" ref="CG31" ca="1">IF($B31="","",IF(ISBLANK(INDIRECT("R9.Web!D"&amp;SUM(18,38*49,12))),"",INDIRECT("R9.Web!D"&amp;SUM(18,38*49,12))))</f>
        <v>Falla</v>
      </c>
      <c r="CH31" s="75" t="str" cm="1">
        <f t="array" aca="1" ref="CH31" ca="1">IF($B31="","",IF(ISBLANK(INDIRECT("R11.Software!D"&amp;SUM(18,38*0,12))),"",INDIRECT("R11.Software!D"&amp;SUM(18,38*0,12))))</f>
        <v>Falla</v>
      </c>
      <c r="CI31" s="75" t="str" cm="1">
        <f t="array" aca="1" ref="CI31" ca="1">IF($B31="","",IF(ISBLANK(INDIRECT("R11.Software!D"&amp;SUM(18,38*1,12))),"",INDIRECT("R11.Software!D"&amp;SUM(18,38*1,12))))</f>
        <v>N/A</v>
      </c>
      <c r="CJ31" s="75" t="str" cm="1">
        <f t="array" aca="1" ref="CJ31" ca="1">IF($B31="","",IF(ISBLANK(INDIRECT("R11.Software!D"&amp;SUM(18,38*2,12))),"",INDIRECT("R11.Software!D"&amp;SUM(18,38*2,12))))</f>
        <v>N/A</v>
      </c>
      <c r="CK31" s="75" t="str" cm="1">
        <f t="array" aca="1" ref="CK31" ca="1">IF($B31="","",IF(ISBLANK(INDIRECT("R11.Software!D"&amp;SUM(18,38*3,12))),"",INDIRECT("R11.Software!D"&amp;SUM(18,38*3,12))))</f>
        <v>N/A</v>
      </c>
      <c r="CL31" s="75" t="str" cm="1">
        <f t="array" aca="1" ref="CL31" ca="1">IF($B31="","",IF(ISBLANK(INDIRECT("R11.Software!D"&amp;SUM(18,38*4,12))),"",INDIRECT("R11.Software!D"&amp;SUM(18,38*4,12))))</f>
        <v>N/A</v>
      </c>
      <c r="CM31" s="75" t="str" cm="1">
        <f t="array" aca="1" ref="CM31" ca="1">IF($B31="","",IF(ISBLANK(INDIRECT("R11.Software!D"&amp;SUM(18,38*5,12))),"",INDIRECT("R11.Software!D"&amp;SUM(18,38*5,12))))</f>
        <v>N/A</v>
      </c>
      <c r="CN31" s="75" t="str" cm="1">
        <f t="array" aca="1" ref="CN31" ca="1">IF($B31="","",IF(ISBLANK(INDIRECT("R12.ServiciosApoyo!D"&amp;SUM(18,38*0,12))),"",INDIRECT("R12.ServiciosApoyo!D"&amp;SUM(18,38*0,12))))</f>
        <v>N/A</v>
      </c>
      <c r="CO31" s="75" t="str" cm="1">
        <f t="array" aca="1" ref="CO31" ca="1">IF($B31="","",IF(ISBLANK(INDIRECT("R12.ServiciosApoyo!D"&amp;SUM(18,38*1,12))),"",INDIRECT("R12.ServiciosApoyo!D"&amp;SUM(18,38*1,12))))</f>
        <v>N/A</v>
      </c>
      <c r="CP31" s="75" t="str" cm="1">
        <f t="array" aca="1" ref="CP31" ca="1">IF($B31="","",IF(ISBLANK(INDIRECT("R12.ServiciosApoyo!D"&amp;SUM(18,38*2,12))),"",INDIRECT("R12.ServiciosApoyo!D"&amp;SUM(18,38*2,12))))</f>
        <v>N/A</v>
      </c>
      <c r="CQ31" s="75" t="str" cm="1">
        <f t="array" aca="1" ref="CQ31" ca="1">IF($B31="","",IF(ISBLANK(INDIRECT("R12.ServiciosApoyo!D"&amp;SUM(18,38*3,12))),"",INDIRECT("R12.ServiciosApoyo!D"&amp;SUM(18,38*3,12))))</f>
        <v>N/A</v>
      </c>
      <c r="CR31" s="75" t="str" cm="1">
        <f t="array" aca="1" ref="CR31" ca="1">IF($B31="","",IF(ISBLANK(INDIRECT("R12.ServiciosApoyo!D"&amp;SUM(18,38*4,12))),"",INDIRECT("R12.ServiciosApoyo!D"&amp;SUM(18,38*4,12))))</f>
        <v>N/A</v>
      </c>
      <c r="CU31" s="76"/>
    </row>
    <row r="32" spans="2:100" ht="20.5">
      <c r="B32" s="39" cm="1">
        <f t="array" ref="B32">IFERROR(INDEX('03.Muestra'!$B$8:$B$42,SMALL(IF("Página Web"='03.Muestra'!$D$8:$D$42,ROW('03.Muestra'!$B$8:$B$42)-MIN(ROW('03.Muestra'!$D$8:$D$42))+1,""),ROW()-19)),"")</f>
        <v>13</v>
      </c>
      <c r="C32" s="73" t="str" cm="1">
        <f t="array" ref="C32">IFERROR(INDEX('03.Muestra'!$C$8:$C$42,SMALL(IF("Página Web"='03.Muestra'!$D$8:$D$42,ROW('03.Muestra'!$C$8:$C$42)-MIN(ROW('03.Muestra'!$D$8:$D$42))+1,""),ROW()-19)),"")</f>
        <v>Simulación método D'Hondt</v>
      </c>
      <c r="D32" s="74" t="str" cm="1">
        <f t="array" ref="D32">IFERROR(INDEX('03.Muestra'!$F$8:$F$42,SMALL(IF("Página Web"='03.Muestra'!$D$8:$D$42,ROW('03.Muestra'!$F$8:$F$42)-MIN(ROW('03.Muestra'!$D$8:$D$42))+1,""),ROW()-19)),"")</f>
        <v>https://elecciones.comunidad.madrid/es/informacion-util/simulacion-metodo-dhondt</v>
      </c>
      <c r="E32" s="75" t="str" cm="1">
        <f t="array" aca="1" ref="E32" ca="1">IF($B32="","",IF(ISBLANK(INDIRECT("R5.Genéricos!D"&amp;SUM(18,38*0,13))),"",INDIRECT("R5.Genéricos!D"&amp;SUM(18,38*0,13))))</f>
        <v>Falla</v>
      </c>
      <c r="F32" s="75" t="str" cm="1">
        <f t="array" aca="1" ref="F32" ca="1">IF($B32="","",IF(ISBLANK(INDIRECT("R5.Genéricos!D"&amp;SUM(18,38*1,13))),"",INDIRECT("R5.Genéricos!D"&amp;SUM(18,38*1,13))))</f>
        <v>N/A</v>
      </c>
      <c r="G32" s="75" t="str" cm="1">
        <f t="array" aca="1" ref="G32" ca="1">IF($B32="","",IF(ISBLANK(INDIRECT("R5.Genéricos!D"&amp;SUM(18,38*2,13))),"",INDIRECT("R5.Genéricos!D"&amp;SUM(18,38*2,13))))</f>
        <v>N/A</v>
      </c>
      <c r="H32" s="75" t="str" cm="1">
        <f t="array" aca="1" ref="H32" ca="1">IF($B32="","",IF(ISBLANK(INDIRECT("R6.Voz!D"&amp;SUM(18,38*0,13))),"",INDIRECT("R6.Voz!D"&amp;SUM(18,38*0,13))))</f>
        <v>N/A</v>
      </c>
      <c r="I32" s="75" t="str" cm="1">
        <f t="array" aca="1" ref="I32" ca="1">IF($B32="","",IF(ISBLANK(INDIRECT("R6.Voz!D"&amp;SUM(18,38*1,13))),"",INDIRECT("R6.Voz!D"&amp;SUM(18,38*1,13))))</f>
        <v>N/A</v>
      </c>
      <c r="J32" s="75" t="str" cm="1">
        <f t="array" aca="1" ref="J32" ca="1">IF($B32="","",IF(ISBLANK(INDIRECT("R6.Voz!D"&amp;SUM(18,38*2,13))),"",INDIRECT("R6.Voz!D"&amp;SUM(18,38*2,13))))</f>
        <v>N/A</v>
      </c>
      <c r="K32" s="75" t="str" cm="1">
        <f t="array" aca="1" ref="K32" ca="1">IF($B32="","",IF(ISBLANK(INDIRECT("R6.Voz!D"&amp;SUM(18,38*3,13))),"",INDIRECT("R6.Voz!D"&amp;SUM(18,38*3,13))))</f>
        <v>N/A</v>
      </c>
      <c r="L32" s="75" t="str" cm="1">
        <f t="array" aca="1" ref="L32" ca="1">IF($B32="","",IF(ISBLANK(INDIRECT("R6.Voz!D"&amp;SUM(18,38*4,13))),"",INDIRECT("R6.Voz!D"&amp;SUM(18,38*4,13))))</f>
        <v>N/A</v>
      </c>
      <c r="M32" s="75" t="str" cm="1">
        <f t="array" aca="1" ref="M32" ca="1">IF($B32="","",IF(ISBLANK(INDIRECT("R6.Voz!D"&amp;SUM(18,38*5,13))),"",INDIRECT("R6.Voz!D"&amp;SUM(18,38*5,13))))</f>
        <v>N/A</v>
      </c>
      <c r="N32" s="75" t="str" cm="1">
        <f t="array" aca="1" ref="N32" ca="1">IF($B32="","",IF(ISBLANK(INDIRECT("R6.Voz!D"&amp;SUM(18,38*6,13))),"",INDIRECT("R6.Voz!D"&amp;SUM(18,38*6,13))))</f>
        <v>N/A</v>
      </c>
      <c r="O32" s="75" t="str" cm="1">
        <f t="array" aca="1" ref="O32" ca="1">IF($B32="","",IF(ISBLANK(INDIRECT("R6.Voz!D"&amp;SUM(18,38*7,13))),"",INDIRECT("R6.Voz!D"&amp;SUM(18,38*7,13))))</f>
        <v>N/A</v>
      </c>
      <c r="P32" s="75" t="str" cm="1">
        <f t="array" aca="1" ref="P32" ca="1">IF($B32="","",IF(ISBLANK(INDIRECT("R6.Voz!D"&amp;SUM(18,38*8,13))),"",INDIRECT("R6.Voz!D"&amp;SUM(18,38*8,13))))</f>
        <v>N/A</v>
      </c>
      <c r="Q32" s="75" t="str" cm="1">
        <f t="array" aca="1" ref="Q32" ca="1">IF($B32="","",IF(ISBLANK(INDIRECT("R6.Voz!D"&amp;SUM(18,38*9,13))),"",INDIRECT("R6.Voz!D"&amp;SUM(18,38*9,13))))</f>
        <v>N/A</v>
      </c>
      <c r="R32" s="75" t="str" cm="1">
        <f t="array" aca="1" ref="R32" ca="1">IF($B32="","",IF(ISBLANK(INDIRECT("R6.Voz!D"&amp;SUM(18,38*10,13))),"",INDIRECT("R6.Voz!D"&amp;SUM(18,38*10,13))))</f>
        <v>N/A</v>
      </c>
      <c r="S32" s="75" t="str" cm="1">
        <f t="array" aca="1" ref="S32" ca="1">IF($B32="","",IF(ISBLANK(INDIRECT("R6.Voz!D"&amp;SUM(18,38*11,13))),"",INDIRECT("R6.Voz!D"&amp;SUM(18,38*11,13))))</f>
        <v>N/A</v>
      </c>
      <c r="T32" s="75" t="str" cm="1">
        <f t="array" aca="1" ref="T32" ca="1">IF($B32="","",IF(ISBLANK(INDIRECT("R6.Voz!D"&amp;SUM(18,38*12,13))),"",INDIRECT("R6.Voz!D"&amp;SUM(18,38*12,13))))</f>
        <v>N/A</v>
      </c>
      <c r="U32" s="75" t="str" cm="1">
        <f t="array" aca="1" ref="U32" ca="1">IF($B32="","",IF(ISBLANK(INDIRECT("R6.Voz!D"&amp;SUM(18,38*13,13))),"",INDIRECT("R6.Voz!D"&amp;SUM(18,38*13,13))))</f>
        <v>N/A</v>
      </c>
      <c r="V32" s="75" t="str" cm="1">
        <f t="array" aca="1" ref="V32" ca="1">IF($B32="","",IF(ISBLANK(INDIRECT("R6.Voz!D"&amp;SUM(18,38*14,13))),"",INDIRECT("R6.Voz!D"&amp;SUM(18,38*14,13))))</f>
        <v>N/A</v>
      </c>
      <c r="W32" s="75" t="str" cm="1">
        <f t="array" aca="1" ref="W32" ca="1">IF($B32="","",IF(ISBLANK(INDIRECT("R6.Voz!D"&amp;SUM(18,38*15,13))),"",INDIRECT("R6.Voz!D"&amp;SUM(18,38*15,13))))</f>
        <v>N/A</v>
      </c>
      <c r="X32" s="75" t="str" cm="1">
        <f t="array" aca="1" ref="X32" ca="1">IF($B32="","",IF(ISBLANK(INDIRECT("R6.Voz!D"&amp;SUM(18,38*16,13))),"",INDIRECT("R6.Voz!D"&amp;SUM(18,38*16,13))))</f>
        <v>N/A</v>
      </c>
      <c r="Y32" s="75" t="str" cm="1">
        <f t="array" aca="1" ref="Y32" ca="1">IF($B32="","",IF(ISBLANK(INDIRECT("R6.Voz!D"&amp;SUM(18,38*17,13))),"",INDIRECT("R6.Voz!D"&amp;SUM(18,38*17,13))))</f>
        <v>N/A</v>
      </c>
      <c r="Z32" s="75" t="str" cm="1">
        <f t="array" aca="1" ref="Z32" ca="1">IF($B32="","",IF(ISBLANK(INDIRECT("R6.Voz!D"&amp;SUM(18,38*18,13))),"",INDIRECT("R6.Voz!D"&amp;SUM(18,38*18,13))))</f>
        <v>N/A</v>
      </c>
      <c r="AA32" s="75" t="str" cm="1">
        <f t="array" aca="1" ref="AA32" ca="1">IF($B32="","",IF(ISBLANK(INDIRECT("R7.Video!D"&amp;SUM(18,38*0,13))),"",INDIRECT("R7.Video!D"&amp;SUM(18,38*0,13))))</f>
        <v>N/A</v>
      </c>
      <c r="AB32" s="75" t="str" cm="1">
        <f t="array" aca="1" ref="AB32" ca="1">IF($B32="","",IF(ISBLANK(INDIRECT("R7.Video!D"&amp;SUM(18,38*1,13))),"",INDIRECT("R7.Video!D"&amp;SUM(18,38*1,13))))</f>
        <v>N/A</v>
      </c>
      <c r="AC32" s="75" t="str" cm="1">
        <f t="array" aca="1" ref="AC32" ca="1">IF($B32="","",IF(ISBLANK(INDIRECT("R7.Video!D"&amp;SUM(18,38*2,13))),"",INDIRECT("R7.Video!D"&amp;SUM(18,38*2,13))))</f>
        <v>N/A</v>
      </c>
      <c r="AD32" s="75" t="str" cm="1">
        <f t="array" aca="1" ref="AD32" ca="1">IF($B32="","",IF(ISBLANK(INDIRECT("R7.Video!D"&amp;SUM(18,38*3,13))),"",INDIRECT("R7.Video!D"&amp;SUM(18,38*3,13))))</f>
        <v>N/A</v>
      </c>
      <c r="AE32" s="75" t="str" cm="1">
        <f t="array" aca="1" ref="AE32" ca="1">IF($B32="","",IF(ISBLANK(INDIRECT("R7.Video!D"&amp;SUM(18,38*4,13))),"",INDIRECT("R7.Video!D"&amp;SUM(18,38*4,13))))</f>
        <v>N/A</v>
      </c>
      <c r="AF32" s="75" t="str" cm="1">
        <f t="array" aca="1" ref="AF32" ca="1">IF($B32="","",IF(ISBLANK(INDIRECT("R7.Video!D"&amp;SUM(18,38*5,13))),"",INDIRECT("R7.Video!D"&amp;SUM(18,38*5,13))))</f>
        <v>N/A</v>
      </c>
      <c r="AG32" s="75" t="str" cm="1">
        <f t="array" aca="1" ref="AG32" ca="1">IF($B32="","",IF(ISBLANK(INDIRECT("R7.Video!D"&amp;SUM(18,38*6,13))),"",INDIRECT("R7.Video!D"&amp;SUM(18,38*6,13))))</f>
        <v>N/A</v>
      </c>
      <c r="AH32" s="75" t="str" cm="1">
        <f t="array" aca="1" ref="AH32" ca="1">IF($B32="","",IF(ISBLANK(INDIRECT("R7.Video!D"&amp;SUM(18,38*7,13))),"",INDIRECT("R7.Video!D"&amp;SUM(18,38*7,13))))</f>
        <v>N/A</v>
      </c>
      <c r="AI32" s="75" t="str" cm="1">
        <f t="array" aca="1" ref="AI32" ca="1">IF($B32="","",IF(ISBLANK(INDIRECT("R7.Video!D"&amp;SUM(18,38*8,13))),"",INDIRECT("R7.Video!D"&amp;SUM(18,38*8,13))))</f>
        <v>N/A</v>
      </c>
      <c r="AJ32" s="75" t="str" cm="1">
        <f t="array" aca="1" ref="AJ32" ca="1">IF($B32="","",IF(ISBLANK(INDIRECT("R9.Web!D"&amp;SUM(18,38*0,13))),"",INDIRECT("R9.Web!D"&amp;SUM(18,38*0,13))))</f>
        <v>Pasa</v>
      </c>
      <c r="AK32" s="75" t="str" cm="1">
        <f t="array" aca="1" ref="AK32" ca="1">IF($B32="","",IF(ISBLANK(INDIRECT("R9.Web!D"&amp;SUM(18,38*1,13))),"",INDIRECT("R9.Web!D"&amp;SUM(18,38*1,13))))</f>
        <v>N/A</v>
      </c>
      <c r="AL32" s="75" t="str" cm="1">
        <f t="array" aca="1" ref="AL32" ca="1">IF($B32="","",IF(ISBLANK(INDIRECT("R9.Web!D"&amp;SUM(18,38*2,13))),"",INDIRECT("R9.Web!D"&amp;SUM(18,38*2,13))))</f>
        <v>N/A</v>
      </c>
      <c r="AM32" s="75" t="str" cm="1">
        <f t="array" aca="1" ref="AM32" ca="1">IF($B32="","",IF(ISBLANK(INDIRECT("R9.Web!D"&amp;SUM(18,38*3,13))),"",INDIRECT("R9.Web!D"&amp;SUM(18,38*3,13))))</f>
        <v>N/A</v>
      </c>
      <c r="AN32" s="75" t="str" cm="1">
        <f t="array" aca="1" ref="AN32" ca="1">IF($B32="","",IF(ISBLANK(INDIRECT("R9.Web!D"&amp;SUM(18,38*4,13))),"",INDIRECT("R9.Web!D"&amp;SUM(18,38*4,13))))</f>
        <v>N/A</v>
      </c>
      <c r="AO32" s="75" t="str" cm="1">
        <f t="array" aca="1" ref="AO32" ca="1">IF($B32="","",IF(ISBLANK(INDIRECT("R9.Web!D"&amp;SUM(18,38*5,13))),"",INDIRECT("R9.Web!D"&amp;SUM(18,38*5,13))))</f>
        <v>Falla</v>
      </c>
      <c r="AP32" s="75" t="str" cm="1">
        <f t="array" aca="1" ref="AP32" ca="1">IF($B32="","",IF(ISBLANK(INDIRECT("R9.Web!D"&amp;SUM(18,38*6,13))),"",INDIRECT("R9.Web!D"&amp;SUM(18,38*6,13))))</f>
        <v>Falla</v>
      </c>
      <c r="AQ32" s="75" t="str" cm="1">
        <f t="array" aca="1" ref="AQ32" ca="1">IF($B32="","",IF(ISBLANK(INDIRECT("R9.Web!D"&amp;SUM(18,38*7,13))),"",INDIRECT("R9.Web!D"&amp;SUM(18,38*7,13))))</f>
        <v>Falla</v>
      </c>
      <c r="AR32" s="75" t="str" cm="1">
        <f t="array" aca="1" ref="AR32" ca="1">IF($B32="","",IF(ISBLANK(INDIRECT("R9.Web!D"&amp;SUM(18,38*8,13))),"",INDIRECT("R9.Web!D"&amp;SUM(18,38*8,13))))</f>
        <v>Falla</v>
      </c>
      <c r="AS32" s="75" t="str" cm="1">
        <f t="array" aca="1" ref="AS32" ca="1">IF($B32="","",IF(ISBLANK(INDIRECT("R9.Web!D"&amp;SUM(18,38*9,13))),"",INDIRECT("R9.Web!D"&amp;SUM(18,38*9,13))))</f>
        <v>N/A</v>
      </c>
      <c r="AT32" s="75" t="str" cm="1">
        <f t="array" aca="1" ref="AT32" ca="1">IF($B32="","",IF(ISBLANK(INDIRECT("R9.Web!D"&amp;SUM(18,38*10,13))),"",INDIRECT("R9.Web!D"&amp;SUM(18,38*10,13))))</f>
        <v>Pasa</v>
      </c>
      <c r="AU32" s="75" t="str" cm="1">
        <f t="array" aca="1" ref="AU32" ca="1">IF($B32="","",IF(ISBLANK(INDIRECT("R9.Web!D"&amp;SUM(18,38*11,13))),"",INDIRECT("R9.Web!D"&amp;SUM(18,38*11,13))))</f>
        <v>N/A</v>
      </c>
      <c r="AV32" s="75" t="str" cm="1">
        <f t="array" aca="1" ref="AV32" ca="1">IF($B32="","",IF(ISBLANK(INDIRECT("R9.Web!D"&amp;SUM(18,38*12,13))),"",INDIRECT("R9.Web!D"&amp;SUM(18,38*12,13))))</f>
        <v>Pasa</v>
      </c>
      <c r="AW32" s="75" t="str" cm="1">
        <f t="array" aca="1" ref="AW32" ca="1">IF($B32="","",IF(ISBLANK(INDIRECT("R9.Web!D"&amp;SUM(18,38*13,13))),"",INDIRECT("R9.Web!D"&amp;SUM(18,38*13,13))))</f>
        <v>Falla</v>
      </c>
      <c r="AX32" s="75" t="str" cm="1">
        <f t="array" aca="1" ref="AX32" ca="1">IF($B32="","",IF(ISBLANK(INDIRECT("R9.Web!D"&amp;SUM(18,38*14,13))),"",INDIRECT("R9.Web!D"&amp;SUM(18,38*14,13))))</f>
        <v>N/A</v>
      </c>
      <c r="AY32" s="75" t="str" cm="1">
        <f t="array" aca="1" ref="AY32" ca="1">IF($B32="","",IF(ISBLANK(INDIRECT("R9.Web!D"&amp;SUM(18,38*15,13))),"",INDIRECT("R9.Web!D"&amp;SUM(18,38*15,13))))</f>
        <v>Falla</v>
      </c>
      <c r="AZ32" s="75" t="str" cm="1">
        <f t="array" aca="1" ref="AZ32" ca="1">IF($B32="","",IF(ISBLANK(INDIRECT("R9.Web!D"&amp;SUM(18,38*16,13))),"",INDIRECT("R9.Web!D"&amp;SUM(18,38*16,13))))</f>
        <v>Falla</v>
      </c>
      <c r="BA32" s="75" t="str" cm="1">
        <f t="array" aca="1" ref="BA32" ca="1">IF($B32="","",IF(ISBLANK(INDIRECT("R9.Web!D"&amp;SUM(18,38*17,13))),"",INDIRECT("R9.Web!D"&amp;SUM(18,38*17,13))))</f>
        <v>Pasa</v>
      </c>
      <c r="BB32" s="75" t="str" cm="1">
        <f t="array" aca="1" ref="BB32" ca="1">IF($B32="","",IF(ISBLANK(INDIRECT("R9.Web!D"&amp;SUM(18,38*18,13))),"",INDIRECT("R9.Web!D"&amp;SUM(18,38*18,13))))</f>
        <v>Falla</v>
      </c>
      <c r="BC32" s="75" t="str" cm="1">
        <f t="array" aca="1" ref="BC32" ca="1">IF($B32="","",IF(ISBLANK(INDIRECT("R9.Web!D"&amp;SUM(18,38*19,13))),"",INDIRECT("R9.Web!D"&amp;SUM(18,38*19,13))))</f>
        <v>Falla</v>
      </c>
      <c r="BD32" s="75" t="str" cm="1">
        <f t="array" aca="1" ref="BD32" ca="1">IF($B32="","",IF(ISBLANK(INDIRECT("R9.Web!D"&amp;SUM(18,38*20,13))),"",INDIRECT("R9.Web!D"&amp;SUM(18,38*20,13))))</f>
        <v>Pasa</v>
      </c>
      <c r="BE32" s="75" t="str" cm="1">
        <f t="array" aca="1" ref="BE32" ca="1">IF($B32="","",IF(ISBLANK(INDIRECT("R9.Web!D"&amp;SUM(18,38*21,13))),"",INDIRECT("R9.Web!D"&amp;SUM(18,38*21,13))))</f>
        <v>N/A</v>
      </c>
      <c r="BF32" s="75" t="str" cm="1">
        <f t="array" aca="1" ref="BF32" ca="1">IF($B32="","",IF(ISBLANK(INDIRECT("R9.Web!D"&amp;SUM(18,38*22,13))),"",INDIRECT("R9.Web!D"&amp;SUM(18,38*22,13))))</f>
        <v>Pasa</v>
      </c>
      <c r="BG32" s="75" t="str" cm="1">
        <f t="array" aca="1" ref="BG32" ca="1">IF($B32="","",IF(ISBLANK(INDIRECT("R9.Web!D"&amp;SUM(18,38*23,13))),"",INDIRECT("R9.Web!D"&amp;SUM(18,38*23,13))))</f>
        <v>N/A</v>
      </c>
      <c r="BH32" s="75" t="str" cm="1">
        <f t="array" aca="1" ref="BH32" ca="1">IF($B32="","",IF(ISBLANK(INDIRECT("R9.Web!D"&amp;SUM(18,38*24,13))),"",INDIRECT("R9.Web!D"&amp;SUM(18,38*24,13))))</f>
        <v>N/A</v>
      </c>
      <c r="BI32" s="75" t="str" cm="1">
        <f t="array" aca="1" ref="BI32" ca="1">IF($B32="","",IF(ISBLANK(INDIRECT("R9.Web!D"&amp;SUM(18,38*25,13))),"",INDIRECT("R9.Web!D"&amp;SUM(18,38*25,13))))</f>
        <v>Pasa</v>
      </c>
      <c r="BJ32" s="75" t="str" cm="1">
        <f t="array" aca="1" ref="BJ32" ca="1">IF($B32="","",IF(ISBLANK(INDIRECT("R9.Web!D"&amp;SUM(18,38*26,13))),"",INDIRECT("R9.Web!D"&amp;SUM(18,38*26,13))))</f>
        <v>Pasa</v>
      </c>
      <c r="BK32" s="75" t="str" cm="1">
        <f t="array" aca="1" ref="BK32" ca="1">IF($B32="","",IF(ISBLANK(INDIRECT("R9.Web!D"&amp;SUM(18,38*27,13))),"",INDIRECT("R9.Web!D"&amp;SUM(18,38*27,13))))</f>
        <v>Falla</v>
      </c>
      <c r="BL32" s="75" t="str" cm="1">
        <f t="array" aca="1" ref="BL32" ca="1">IF($B32="","",IF(ISBLANK(INDIRECT("R9.Web!D"&amp;SUM(18,38*28,13))),"",INDIRECT("R9.Web!D"&amp;SUM(18,38*28,13))))</f>
        <v>Falla</v>
      </c>
      <c r="BM32" s="75" t="str" cm="1">
        <f t="array" aca="1" ref="BM32" ca="1">IF($B32="","",IF(ISBLANK(INDIRECT("R9.Web!D"&amp;SUM(18,38*29,13))),"",INDIRECT("R9.Web!D"&amp;SUM(18,38*29,13))))</f>
        <v>Pasa</v>
      </c>
      <c r="BN32" s="75" t="str" cm="1">
        <f t="array" aca="1" ref="BN32" ca="1">IF($B32="","",IF(ISBLANK(INDIRECT("R9.Web!D"&amp;SUM(18,38*30,13))),"",INDIRECT("R9.Web!D"&amp;SUM(18,38*30,13))))</f>
        <v>Pasa</v>
      </c>
      <c r="BO32" s="75" t="str" cm="1">
        <f t="array" aca="1" ref="BO32" ca="1">IF($B32="","",IF(ISBLANK(INDIRECT("R9.Web!D"&amp;SUM(18,38*31,13))),"",INDIRECT("R9.Web!D"&amp;SUM(18,38*31,13))))</f>
        <v>Falla</v>
      </c>
      <c r="BP32" s="75" t="str" cm="1">
        <f t="array" aca="1" ref="BP32" ca="1">IF($B32="","",IF(ISBLANK(INDIRECT("R9.Web!D"&amp;SUM(18,38*32,13))),"",INDIRECT("R9.Web!D"&amp;SUM(18,38*32,13))))</f>
        <v>N/A</v>
      </c>
      <c r="BQ32" s="75" t="str" cm="1">
        <f t="array" aca="1" ref="BQ32" ca="1">IF($B32="","",IF(ISBLANK(INDIRECT("R9.Web!D"&amp;SUM(18,38*33,13))),"",INDIRECT("R9.Web!D"&amp;SUM(18,38*33,13))))</f>
        <v>Pasa</v>
      </c>
      <c r="BR32" s="75" t="str" cm="1">
        <f t="array" aca="1" ref="BR32" ca="1">IF($B32="","",IF(ISBLANK(INDIRECT("R9.Web!D"&amp;SUM(18,38*34,13))),"",INDIRECT("R9.Web!D"&amp;SUM(18,38*34,13))))</f>
        <v>Falla</v>
      </c>
      <c r="BS32" s="75" t="str" cm="1">
        <f t="array" aca="1" ref="BS32" ca="1">IF($B32="","",IF(ISBLANK(INDIRECT("R9.Web!D"&amp;SUM(18,38*35,13))),"",INDIRECT("R9.Web!D"&amp;SUM(18,38*35,13))))</f>
        <v>N/A</v>
      </c>
      <c r="BT32" s="75" t="str" cm="1">
        <f t="array" aca="1" ref="BT32" ca="1">IF($B32="","",IF(ISBLANK(INDIRECT("R9.Web!D"&amp;SUM(18,38*36,13))),"",INDIRECT("R9.Web!D"&amp;SUM(18,38*36,13))))</f>
        <v>Pasa</v>
      </c>
      <c r="BU32" s="75" t="str" cm="1">
        <f t="array" aca="1" ref="BU32" ca="1">IF($B32="","",IF(ISBLANK(INDIRECT("R9.Web!D"&amp;SUM(18,38*37,13))),"",INDIRECT("R9.Web!D"&amp;SUM(18,38*37,13))))</f>
        <v>N/A</v>
      </c>
      <c r="BV32" s="75" t="str" cm="1">
        <f t="array" aca="1" ref="BV32" ca="1">IF($B32="","",IF(ISBLANK(INDIRECT("R9.Web!D"&amp;SUM(18,38*38,13))),"",INDIRECT("R9.Web!D"&amp;SUM(18,38*38,13))))</f>
        <v>Pasa</v>
      </c>
      <c r="BW32" s="75" t="str" cm="1">
        <f t="array" aca="1" ref="BW32" ca="1">IF($B32="","",IF(ISBLANK(INDIRECT("R9.Web!D"&amp;SUM(18,38*39,13))),"",INDIRECT("R9.Web!D"&amp;SUM(18,38*39,13))))</f>
        <v>Pasa</v>
      </c>
      <c r="BX32" s="75" t="str" cm="1">
        <f t="array" aca="1" ref="BX32" ca="1">IF($B32="","",IF(ISBLANK(INDIRECT("R9.Web!D"&amp;SUM(18,38*40,13))),"",INDIRECT("R9.Web!D"&amp;SUM(18,38*40,13))))</f>
        <v>Pasa</v>
      </c>
      <c r="BY32" s="75" t="str" cm="1">
        <f t="array" aca="1" ref="BY32" ca="1">IF($B32="","",IF(ISBLANK(INDIRECT("R9.Web!D"&amp;SUM(18,38*41,13))),"",INDIRECT("R9.Web!D"&amp;SUM(18,38*41,13))))</f>
        <v>Pasa</v>
      </c>
      <c r="BZ32" s="75" t="str" cm="1">
        <f t="array" aca="1" ref="BZ32" ca="1">IF($B32="","",IF(ISBLANK(INDIRECT("R9.Web!D"&amp;SUM(18,38*42,13))),"",INDIRECT("R9.Web!D"&amp;SUM(18,38*42,13))))</f>
        <v>N/A</v>
      </c>
      <c r="CA32" s="75" t="str" cm="1">
        <f t="array" aca="1" ref="CA32" ca="1">IF($B32="","",IF(ISBLANK(INDIRECT("R9.Web!D"&amp;SUM(18,38*43,13))),"",INDIRECT("R9.Web!D"&amp;SUM(18,38*43,13))))</f>
        <v>Pasa</v>
      </c>
      <c r="CB32" s="75" t="str" cm="1">
        <f t="array" aca="1" ref="CB32" ca="1">IF($B32="","",IF(ISBLANK(INDIRECT("R9.Web!D"&amp;SUM(18,38*44,13))),"",INDIRECT("R9.Web!D"&amp;SUM(18,38*44,13))))</f>
        <v>N/A</v>
      </c>
      <c r="CC32" s="75" t="str" cm="1">
        <f t="array" aca="1" ref="CC32" ca="1">IF($B32="","",IF(ISBLANK(INDIRECT("R9.Web!D"&amp;SUM(18,38*45,13))),"",INDIRECT("R9.Web!D"&amp;SUM(18,38*45,13))))</f>
        <v>N/A</v>
      </c>
      <c r="CD32" s="75" t="str" cm="1">
        <f t="array" aca="1" ref="CD32" ca="1">IF($B32="","",IF(ISBLANK(INDIRECT("R9.Web!D"&amp;SUM(18,38*46,13))),"",INDIRECT("R9.Web!D"&amp;SUM(18,38*46,13))))</f>
        <v>N/A</v>
      </c>
      <c r="CE32" s="75" t="str" cm="1">
        <f t="array" aca="1" ref="CE32" ca="1">IF($B32="","",IF(ISBLANK(INDIRECT("R9.Web!D"&amp;SUM(18,38*47,13))),"",INDIRECT("R9.Web!D"&amp;SUM(18,38*47,13))))</f>
        <v>Pasa</v>
      </c>
      <c r="CF32" s="75" t="str" cm="1">
        <f t="array" aca="1" ref="CF32" ca="1">IF($B32="","",IF(ISBLANK(INDIRECT("R9.Web!D"&amp;SUM(18,38*48,13))),"",INDIRECT("R9.Web!D"&amp;SUM(18,38*48,13))))</f>
        <v>N/A</v>
      </c>
      <c r="CG32" s="75" t="str" cm="1">
        <f t="array" aca="1" ref="CG32" ca="1">IF($B32="","",IF(ISBLANK(INDIRECT("R9.Web!D"&amp;SUM(18,38*49,13))),"",INDIRECT("R9.Web!D"&amp;SUM(18,38*49,13))))</f>
        <v>Falla</v>
      </c>
      <c r="CH32" s="75" t="str" cm="1">
        <f t="array" aca="1" ref="CH32" ca="1">IF($B32="","",IF(ISBLANK(INDIRECT("R11.Software!D"&amp;SUM(18,38*0,13))),"",INDIRECT("R11.Software!D"&amp;SUM(18,38*0,13))))</f>
        <v>Falla</v>
      </c>
      <c r="CI32" s="75" t="str" cm="1">
        <f t="array" aca="1" ref="CI32" ca="1">IF($B32="","",IF(ISBLANK(INDIRECT("R11.Software!D"&amp;SUM(18,38*1,13))),"",INDIRECT("R11.Software!D"&amp;SUM(18,38*1,13))))</f>
        <v>N/A</v>
      </c>
      <c r="CJ32" s="75" t="str" cm="1">
        <f t="array" aca="1" ref="CJ32" ca="1">IF($B32="","",IF(ISBLANK(INDIRECT("R11.Software!D"&amp;SUM(18,38*2,13))),"",INDIRECT("R11.Software!D"&amp;SUM(18,38*2,13))))</f>
        <v>N/A</v>
      </c>
      <c r="CK32" s="75" t="str" cm="1">
        <f t="array" aca="1" ref="CK32" ca="1">IF($B32="","",IF(ISBLANK(INDIRECT("R11.Software!D"&amp;SUM(18,38*3,13))),"",INDIRECT("R11.Software!D"&amp;SUM(18,38*3,13))))</f>
        <v>N/A</v>
      </c>
      <c r="CL32" s="75" t="str" cm="1">
        <f t="array" aca="1" ref="CL32" ca="1">IF($B32="","",IF(ISBLANK(INDIRECT("R11.Software!D"&amp;SUM(18,38*4,13))),"",INDIRECT("R11.Software!D"&amp;SUM(18,38*4,13))))</f>
        <v>N/A</v>
      </c>
      <c r="CM32" s="75" t="str" cm="1">
        <f t="array" aca="1" ref="CM32" ca="1">IF($B32="","",IF(ISBLANK(INDIRECT("R11.Software!D"&amp;SUM(18,38*5,13))),"",INDIRECT("R11.Software!D"&amp;SUM(18,38*5,13))))</f>
        <v>N/A</v>
      </c>
      <c r="CN32" s="75" t="str" cm="1">
        <f t="array" aca="1" ref="CN32" ca="1">IF($B32="","",IF(ISBLANK(INDIRECT("R12.ServiciosApoyo!D"&amp;SUM(18,38*0,13))),"",INDIRECT("R12.ServiciosApoyo!D"&amp;SUM(18,38*0,13))))</f>
        <v>N/A</v>
      </c>
      <c r="CO32" s="75" t="str" cm="1">
        <f t="array" aca="1" ref="CO32" ca="1">IF($B32="","",IF(ISBLANK(INDIRECT("R12.ServiciosApoyo!D"&amp;SUM(18,38*1,13))),"",INDIRECT("R12.ServiciosApoyo!D"&amp;SUM(18,38*1,13))))</f>
        <v>N/A</v>
      </c>
      <c r="CP32" s="75" t="str" cm="1">
        <f t="array" aca="1" ref="CP32" ca="1">IF($B32="","",IF(ISBLANK(INDIRECT("R12.ServiciosApoyo!D"&amp;SUM(18,38*2,13))),"",INDIRECT("R12.ServiciosApoyo!D"&amp;SUM(18,38*2,13))))</f>
        <v>N/A</v>
      </c>
      <c r="CQ32" s="75" t="str" cm="1">
        <f t="array" aca="1" ref="CQ32" ca="1">IF($B32="","",IF(ISBLANK(INDIRECT("R12.ServiciosApoyo!D"&amp;SUM(18,38*3,13))),"",INDIRECT("R12.ServiciosApoyo!D"&amp;SUM(18,38*3,13))))</f>
        <v>N/A</v>
      </c>
      <c r="CR32" s="75" t="str" cm="1">
        <f t="array" aca="1" ref="CR32" ca="1">IF($B32="","",IF(ISBLANK(INDIRECT("R12.ServiciosApoyo!D"&amp;SUM(18,38*4,13))),"",INDIRECT("R12.ServiciosApoyo!D"&amp;SUM(18,38*4,13))))</f>
        <v>N/A</v>
      </c>
      <c r="CU32" s="76"/>
    </row>
    <row r="33" spans="2:99" ht="20.5">
      <c r="B33" s="39" cm="1">
        <f t="array" ref="B33">IFERROR(INDEX('03.Muestra'!$B$8:$B$42,SMALL(IF("Página Web"='03.Muestra'!$D$8:$D$42,ROW('03.Muestra'!$B$8:$B$42)-MIN(ROW('03.Muestra'!$D$8:$D$42))+1,""),ROW()-19)),"")</f>
        <v>14</v>
      </c>
      <c r="C33" s="73" t="str" cm="1">
        <f t="array" ref="C33">IFERROR(INDEX('03.Muestra'!$C$8:$C$42,SMALL(IF("Página Web"='03.Muestra'!$D$8:$D$42,ROW('03.Muestra'!$C$8:$C$42)-MIN(ROW('03.Muestra'!$D$8:$D$42))+1,""),ROW()-19)),"")</f>
        <v>Ley D'Hondt</v>
      </c>
      <c r="D33" s="74" t="str" cm="1">
        <f t="array" ref="D33">IFERROR(INDEX('03.Muestra'!$F$8:$F$42,SMALL(IF("Página Web"='03.Muestra'!$D$8:$D$42,ROW('03.Muestra'!$F$8:$F$42)-MIN(ROW('03.Muestra'!$D$8:$D$42))+1,""),ROW()-19)),"")</f>
        <v>https://elecciones.comunidad.madrid/es/resultados/ley_d_hondt</v>
      </c>
      <c r="E33" s="75" t="str" cm="1">
        <f t="array" aca="1" ref="E33" ca="1">IF($B33="","",IF(ISBLANK(INDIRECT("R5.Genéricos!D"&amp;SUM(18,38*0,14))),"",INDIRECT("R5.Genéricos!D"&amp;SUM(18,38*0,14))))</f>
        <v>N/A</v>
      </c>
      <c r="F33" s="75" t="str" cm="1">
        <f t="array" aca="1" ref="F33" ca="1">IF($B33="","",IF(ISBLANK(INDIRECT("R5.Genéricos!D"&amp;SUM(18,38*1,14))),"",INDIRECT("R5.Genéricos!D"&amp;SUM(18,38*1,14))))</f>
        <v>N/A</v>
      </c>
      <c r="G33" s="75" t="str" cm="1">
        <f t="array" aca="1" ref="G33" ca="1">IF($B33="","",IF(ISBLANK(INDIRECT("R5.Genéricos!D"&amp;SUM(18,38*2,14))),"",INDIRECT("R5.Genéricos!D"&amp;SUM(18,38*2,14))))</f>
        <v>N/A</v>
      </c>
      <c r="H33" s="75" t="str" cm="1">
        <f t="array" aca="1" ref="H33" ca="1">IF($B33="","",IF(ISBLANK(INDIRECT("R6.Voz!D"&amp;SUM(18,38*0,14))),"",INDIRECT("R6.Voz!D"&amp;SUM(18,38*0,14))))</f>
        <v>N/A</v>
      </c>
      <c r="I33" s="75" t="str" cm="1">
        <f t="array" aca="1" ref="I33" ca="1">IF($B33="","",IF(ISBLANK(INDIRECT("R6.Voz!D"&amp;SUM(18,38*1,14))),"",INDIRECT("R6.Voz!D"&amp;SUM(18,38*1,14))))</f>
        <v>N/A</v>
      </c>
      <c r="J33" s="75" t="str" cm="1">
        <f t="array" aca="1" ref="J33" ca="1">IF($B33="","",IF(ISBLANK(INDIRECT("R6.Voz!D"&amp;SUM(18,38*2,14))),"",INDIRECT("R6.Voz!D"&amp;SUM(18,38*2,14))))</f>
        <v>N/A</v>
      </c>
      <c r="K33" s="75" t="str" cm="1">
        <f t="array" aca="1" ref="K33" ca="1">IF($B33="","",IF(ISBLANK(INDIRECT("R6.Voz!D"&amp;SUM(18,38*3,14))),"",INDIRECT("R6.Voz!D"&amp;SUM(18,38*3,14))))</f>
        <v>N/A</v>
      </c>
      <c r="L33" s="75" t="str" cm="1">
        <f t="array" aca="1" ref="L33" ca="1">IF($B33="","",IF(ISBLANK(INDIRECT("R6.Voz!D"&amp;SUM(18,38*4,14))),"",INDIRECT("R6.Voz!D"&amp;SUM(18,38*4,14))))</f>
        <v>N/A</v>
      </c>
      <c r="M33" s="75" t="str" cm="1">
        <f t="array" aca="1" ref="M33" ca="1">IF($B33="","",IF(ISBLANK(INDIRECT("R6.Voz!D"&amp;SUM(18,38*5,14))),"",INDIRECT("R6.Voz!D"&amp;SUM(18,38*5,14))))</f>
        <v>N/A</v>
      </c>
      <c r="N33" s="75" t="str" cm="1">
        <f t="array" aca="1" ref="N33" ca="1">IF($B33="","",IF(ISBLANK(INDIRECT("R6.Voz!D"&amp;SUM(18,38*6,14))),"",INDIRECT("R6.Voz!D"&amp;SUM(18,38*6,14))))</f>
        <v>N/A</v>
      </c>
      <c r="O33" s="75" t="str" cm="1">
        <f t="array" aca="1" ref="O33" ca="1">IF($B33="","",IF(ISBLANK(INDIRECT("R6.Voz!D"&amp;SUM(18,38*7,14))),"",INDIRECT("R6.Voz!D"&amp;SUM(18,38*7,14))))</f>
        <v>N/A</v>
      </c>
      <c r="P33" s="75" t="str" cm="1">
        <f t="array" aca="1" ref="P33" ca="1">IF($B33="","",IF(ISBLANK(INDIRECT("R6.Voz!D"&amp;SUM(18,38*8,14))),"",INDIRECT("R6.Voz!D"&amp;SUM(18,38*8,14))))</f>
        <v>N/A</v>
      </c>
      <c r="Q33" s="75" t="str" cm="1">
        <f t="array" aca="1" ref="Q33" ca="1">IF($B33="","",IF(ISBLANK(INDIRECT("R6.Voz!D"&amp;SUM(18,38*9,14))),"",INDIRECT("R6.Voz!D"&amp;SUM(18,38*9,14))))</f>
        <v>N/A</v>
      </c>
      <c r="R33" s="75" t="str" cm="1">
        <f t="array" aca="1" ref="R33" ca="1">IF($B33="","",IF(ISBLANK(INDIRECT("R6.Voz!D"&amp;SUM(18,38*10,14))),"",INDIRECT("R6.Voz!D"&amp;SUM(18,38*10,14))))</f>
        <v>N/A</v>
      </c>
      <c r="S33" s="75" t="str" cm="1">
        <f t="array" aca="1" ref="S33" ca="1">IF($B33="","",IF(ISBLANK(INDIRECT("R6.Voz!D"&amp;SUM(18,38*11,14))),"",INDIRECT("R6.Voz!D"&amp;SUM(18,38*11,14))))</f>
        <v>N/A</v>
      </c>
      <c r="T33" s="75" t="str" cm="1">
        <f t="array" aca="1" ref="T33" ca="1">IF($B33="","",IF(ISBLANK(INDIRECT("R6.Voz!D"&amp;SUM(18,38*12,14))),"",INDIRECT("R6.Voz!D"&amp;SUM(18,38*12,14))))</f>
        <v>N/A</v>
      </c>
      <c r="U33" s="75" t="str" cm="1">
        <f t="array" aca="1" ref="U33" ca="1">IF($B33="","",IF(ISBLANK(INDIRECT("R6.Voz!D"&amp;SUM(18,38*13,14))),"",INDIRECT("R6.Voz!D"&amp;SUM(18,38*13,14))))</f>
        <v>N/A</v>
      </c>
      <c r="V33" s="75" t="str" cm="1">
        <f t="array" aca="1" ref="V33" ca="1">IF($B33="","",IF(ISBLANK(INDIRECT("R6.Voz!D"&amp;SUM(18,38*14,14))),"",INDIRECT("R6.Voz!D"&amp;SUM(18,38*14,14))))</f>
        <v>N/A</v>
      </c>
      <c r="W33" s="75" t="str" cm="1">
        <f t="array" aca="1" ref="W33" ca="1">IF($B33="","",IF(ISBLANK(INDIRECT("R6.Voz!D"&amp;SUM(18,38*15,14))),"",INDIRECT("R6.Voz!D"&amp;SUM(18,38*15,14))))</f>
        <v>N/A</v>
      </c>
      <c r="X33" s="75" t="str" cm="1">
        <f t="array" aca="1" ref="X33" ca="1">IF($B33="","",IF(ISBLANK(INDIRECT("R6.Voz!D"&amp;SUM(18,38*16,14))),"",INDIRECT("R6.Voz!D"&amp;SUM(18,38*16,14))))</f>
        <v>N/A</v>
      </c>
      <c r="Y33" s="75" t="str" cm="1">
        <f t="array" aca="1" ref="Y33" ca="1">IF($B33="","",IF(ISBLANK(INDIRECT("R6.Voz!D"&amp;SUM(18,38*17,14))),"",INDIRECT("R6.Voz!D"&amp;SUM(18,38*17,14))))</f>
        <v>N/A</v>
      </c>
      <c r="Z33" s="75" t="str" cm="1">
        <f t="array" aca="1" ref="Z33" ca="1">IF($B33="","",IF(ISBLANK(INDIRECT("R6.Voz!D"&amp;SUM(18,38*18,14))),"",INDIRECT("R6.Voz!D"&amp;SUM(18,38*18,14))))</f>
        <v>N/A</v>
      </c>
      <c r="AA33" s="75" t="str" cm="1">
        <f t="array" aca="1" ref="AA33" ca="1">IF($B33="","",IF(ISBLANK(INDIRECT("R7.Video!D"&amp;SUM(18,38*0,14))),"",INDIRECT("R7.Video!D"&amp;SUM(18,38*0,14))))</f>
        <v>N/A</v>
      </c>
      <c r="AB33" s="75" t="str" cm="1">
        <f t="array" aca="1" ref="AB33" ca="1">IF($B33="","",IF(ISBLANK(INDIRECT("R7.Video!D"&amp;SUM(18,38*1,14))),"",INDIRECT("R7.Video!D"&amp;SUM(18,38*1,14))))</f>
        <v>N/A</v>
      </c>
      <c r="AC33" s="75" t="str" cm="1">
        <f t="array" aca="1" ref="AC33" ca="1">IF($B33="","",IF(ISBLANK(INDIRECT("R7.Video!D"&amp;SUM(18,38*2,14))),"",INDIRECT("R7.Video!D"&amp;SUM(18,38*2,14))))</f>
        <v>N/A</v>
      </c>
      <c r="AD33" s="75" t="str" cm="1">
        <f t="array" aca="1" ref="AD33" ca="1">IF($B33="","",IF(ISBLANK(INDIRECT("R7.Video!D"&amp;SUM(18,38*3,14))),"",INDIRECT("R7.Video!D"&amp;SUM(18,38*3,14))))</f>
        <v>N/A</v>
      </c>
      <c r="AE33" s="75" t="str" cm="1">
        <f t="array" aca="1" ref="AE33" ca="1">IF($B33="","",IF(ISBLANK(INDIRECT("R7.Video!D"&amp;SUM(18,38*4,14))),"",INDIRECT("R7.Video!D"&amp;SUM(18,38*4,14))))</f>
        <v>N/A</v>
      </c>
      <c r="AF33" s="75" t="str" cm="1">
        <f t="array" aca="1" ref="AF33" ca="1">IF($B33="","",IF(ISBLANK(INDIRECT("R7.Video!D"&amp;SUM(18,38*5,14))),"",INDIRECT("R7.Video!D"&amp;SUM(18,38*5,14))))</f>
        <v>N/A</v>
      </c>
      <c r="AG33" s="75" t="str" cm="1">
        <f t="array" aca="1" ref="AG33" ca="1">IF($B33="","",IF(ISBLANK(INDIRECT("R7.Video!D"&amp;SUM(18,38*6,14))),"",INDIRECT("R7.Video!D"&amp;SUM(18,38*6,14))))</f>
        <v>N/A</v>
      </c>
      <c r="AH33" s="75" t="str" cm="1">
        <f t="array" aca="1" ref="AH33" ca="1">IF($B33="","",IF(ISBLANK(INDIRECT("R7.Video!D"&amp;SUM(18,38*7,14))),"",INDIRECT("R7.Video!D"&amp;SUM(18,38*7,14))))</f>
        <v>N/A</v>
      </c>
      <c r="AI33" s="75" t="str" cm="1">
        <f t="array" aca="1" ref="AI33" ca="1">IF($B33="","",IF(ISBLANK(INDIRECT("R7.Video!D"&amp;SUM(18,38*8,14))),"",INDIRECT("R7.Video!D"&amp;SUM(18,38*8,14))))</f>
        <v>N/A</v>
      </c>
      <c r="AJ33" s="75" t="str" cm="1">
        <f t="array" aca="1" ref="AJ33" ca="1">IF($B33="","",IF(ISBLANK(INDIRECT("R9.Web!D"&amp;SUM(18,38*0,14))),"",INDIRECT("R9.Web!D"&amp;SUM(18,38*0,14))))</f>
        <v>Pasa</v>
      </c>
      <c r="AK33" s="75" t="str" cm="1">
        <f t="array" aca="1" ref="AK33" ca="1">IF($B33="","",IF(ISBLANK(INDIRECT("R9.Web!D"&amp;SUM(18,38*1,14))),"",INDIRECT("R9.Web!D"&amp;SUM(18,38*1,14))))</f>
        <v>N/A</v>
      </c>
      <c r="AL33" s="75" t="str" cm="1">
        <f t="array" aca="1" ref="AL33" ca="1">IF($B33="","",IF(ISBLANK(INDIRECT("R9.Web!D"&amp;SUM(18,38*2,14))),"",INDIRECT("R9.Web!D"&amp;SUM(18,38*2,14))))</f>
        <v>N/A</v>
      </c>
      <c r="AM33" s="75" t="str" cm="1">
        <f t="array" aca="1" ref="AM33" ca="1">IF($B33="","",IF(ISBLANK(INDIRECT("R9.Web!D"&amp;SUM(18,38*3,14))),"",INDIRECT("R9.Web!D"&amp;SUM(18,38*3,14))))</f>
        <v>N/A</v>
      </c>
      <c r="AN33" s="75" t="str" cm="1">
        <f t="array" aca="1" ref="AN33" ca="1">IF($B33="","",IF(ISBLANK(INDIRECT("R9.Web!D"&amp;SUM(18,38*4,14))),"",INDIRECT("R9.Web!D"&amp;SUM(18,38*4,14))))</f>
        <v>N/A</v>
      </c>
      <c r="AO33" s="75" t="str" cm="1">
        <f t="array" aca="1" ref="AO33" ca="1">IF($B33="","",IF(ISBLANK(INDIRECT("R9.Web!D"&amp;SUM(18,38*5,14))),"",INDIRECT("R9.Web!D"&amp;SUM(18,38*5,14))))</f>
        <v>Falla</v>
      </c>
      <c r="AP33" s="75" t="str" cm="1">
        <f t="array" aca="1" ref="AP33" ca="1">IF($B33="","",IF(ISBLANK(INDIRECT("R9.Web!D"&amp;SUM(18,38*6,14))),"",INDIRECT("R9.Web!D"&amp;SUM(18,38*6,14))))</f>
        <v>Falla</v>
      </c>
      <c r="AQ33" s="75" t="str" cm="1">
        <f t="array" aca="1" ref="AQ33" ca="1">IF($B33="","",IF(ISBLANK(INDIRECT("R9.Web!D"&amp;SUM(18,38*7,14))),"",INDIRECT("R9.Web!D"&amp;SUM(18,38*7,14))))</f>
        <v>Falla</v>
      </c>
      <c r="AR33" s="75" t="str" cm="1">
        <f t="array" aca="1" ref="AR33" ca="1">IF($B33="","",IF(ISBLANK(INDIRECT("R9.Web!D"&amp;SUM(18,38*8,14))),"",INDIRECT("R9.Web!D"&amp;SUM(18,38*8,14))))</f>
        <v>Falla</v>
      </c>
      <c r="AS33" s="75" t="str" cm="1">
        <f t="array" aca="1" ref="AS33" ca="1">IF($B33="","",IF(ISBLANK(INDIRECT("R9.Web!D"&amp;SUM(18,38*9,14))),"",INDIRECT("R9.Web!D"&amp;SUM(18,38*9,14))))</f>
        <v>N/A</v>
      </c>
      <c r="AT33" s="75" t="str" cm="1">
        <f t="array" aca="1" ref="AT33" ca="1">IF($B33="","",IF(ISBLANK(INDIRECT("R9.Web!D"&amp;SUM(18,38*10,14))),"",INDIRECT("R9.Web!D"&amp;SUM(18,38*10,14))))</f>
        <v>Pasa</v>
      </c>
      <c r="AU33" s="75" t="str" cm="1">
        <f t="array" aca="1" ref="AU33" ca="1">IF($B33="","",IF(ISBLANK(INDIRECT("R9.Web!D"&amp;SUM(18,38*11,14))),"",INDIRECT("R9.Web!D"&amp;SUM(18,38*11,14))))</f>
        <v>N/A</v>
      </c>
      <c r="AV33" s="75" t="str" cm="1">
        <f t="array" aca="1" ref="AV33" ca="1">IF($B33="","",IF(ISBLANK(INDIRECT("R9.Web!D"&amp;SUM(18,38*12,14))),"",INDIRECT("R9.Web!D"&amp;SUM(18,38*12,14))))</f>
        <v>Pasa</v>
      </c>
      <c r="AW33" s="75" t="str" cm="1">
        <f t="array" aca="1" ref="AW33" ca="1">IF($B33="","",IF(ISBLANK(INDIRECT("R9.Web!D"&amp;SUM(18,38*13,14))),"",INDIRECT("R9.Web!D"&amp;SUM(18,38*13,14))))</f>
        <v>Falla</v>
      </c>
      <c r="AX33" s="75" t="str" cm="1">
        <f t="array" aca="1" ref="AX33" ca="1">IF($B33="","",IF(ISBLANK(INDIRECT("R9.Web!D"&amp;SUM(18,38*14,14))),"",INDIRECT("R9.Web!D"&amp;SUM(18,38*14,14))))</f>
        <v>N/A</v>
      </c>
      <c r="AY33" s="75" t="str" cm="1">
        <f t="array" aca="1" ref="AY33" ca="1">IF($B33="","",IF(ISBLANK(INDIRECT("R9.Web!D"&amp;SUM(18,38*15,14))),"",INDIRECT("R9.Web!D"&amp;SUM(18,38*15,14))))</f>
        <v>Falla</v>
      </c>
      <c r="AZ33" s="75" t="str" cm="1">
        <f t="array" aca="1" ref="AZ33" ca="1">IF($B33="","",IF(ISBLANK(INDIRECT("R9.Web!D"&amp;SUM(18,38*16,14))),"",INDIRECT("R9.Web!D"&amp;SUM(18,38*16,14))))</f>
        <v>Falla</v>
      </c>
      <c r="BA33" s="75" t="str" cm="1">
        <f t="array" aca="1" ref="BA33" ca="1">IF($B33="","",IF(ISBLANK(INDIRECT("R9.Web!D"&amp;SUM(18,38*17,14))),"",INDIRECT("R9.Web!D"&amp;SUM(18,38*17,14))))</f>
        <v>Pasa</v>
      </c>
      <c r="BB33" s="75" t="str" cm="1">
        <f t="array" aca="1" ref="BB33" ca="1">IF($B33="","",IF(ISBLANK(INDIRECT("R9.Web!D"&amp;SUM(18,38*18,14))),"",INDIRECT("R9.Web!D"&amp;SUM(18,38*18,14))))</f>
        <v>Falla</v>
      </c>
      <c r="BC33" s="75" t="str" cm="1">
        <f t="array" aca="1" ref="BC33" ca="1">IF($B33="","",IF(ISBLANK(INDIRECT("R9.Web!D"&amp;SUM(18,38*19,14))),"",INDIRECT("R9.Web!D"&amp;SUM(18,38*19,14))))</f>
        <v>Falla</v>
      </c>
      <c r="BD33" s="75" t="str" cm="1">
        <f t="array" aca="1" ref="BD33" ca="1">IF($B33="","",IF(ISBLANK(INDIRECT("R9.Web!D"&amp;SUM(18,38*20,14))),"",INDIRECT("R9.Web!D"&amp;SUM(18,38*20,14))))</f>
        <v>Pasa</v>
      </c>
      <c r="BE33" s="75" t="str" cm="1">
        <f t="array" aca="1" ref="BE33" ca="1">IF($B33="","",IF(ISBLANK(INDIRECT("R9.Web!D"&amp;SUM(18,38*21,14))),"",INDIRECT("R9.Web!D"&amp;SUM(18,38*21,14))))</f>
        <v>N/A</v>
      </c>
      <c r="BF33" s="75" t="str" cm="1">
        <f t="array" aca="1" ref="BF33" ca="1">IF($B33="","",IF(ISBLANK(INDIRECT("R9.Web!D"&amp;SUM(18,38*22,14))),"",INDIRECT("R9.Web!D"&amp;SUM(18,38*22,14))))</f>
        <v>Pasa</v>
      </c>
      <c r="BG33" s="75" t="str" cm="1">
        <f t="array" aca="1" ref="BG33" ca="1">IF($B33="","",IF(ISBLANK(INDIRECT("R9.Web!D"&amp;SUM(18,38*23,14))),"",INDIRECT("R9.Web!D"&amp;SUM(18,38*23,14))))</f>
        <v>N/A</v>
      </c>
      <c r="BH33" s="75" t="str" cm="1">
        <f t="array" aca="1" ref="BH33" ca="1">IF($B33="","",IF(ISBLANK(INDIRECT("R9.Web!D"&amp;SUM(18,38*24,14))),"",INDIRECT("R9.Web!D"&amp;SUM(18,38*24,14))))</f>
        <v>N/A</v>
      </c>
      <c r="BI33" s="75" t="str" cm="1">
        <f t="array" aca="1" ref="BI33" ca="1">IF($B33="","",IF(ISBLANK(INDIRECT("R9.Web!D"&amp;SUM(18,38*25,14))),"",INDIRECT("R9.Web!D"&amp;SUM(18,38*25,14))))</f>
        <v>Pasa</v>
      </c>
      <c r="BJ33" s="75" t="str" cm="1">
        <f t="array" aca="1" ref="BJ33" ca="1">IF($B33="","",IF(ISBLANK(INDIRECT("R9.Web!D"&amp;SUM(18,38*26,14))),"",INDIRECT("R9.Web!D"&amp;SUM(18,38*26,14))))</f>
        <v>Falla</v>
      </c>
      <c r="BK33" s="75" t="str" cm="1">
        <f t="array" aca="1" ref="BK33" ca="1">IF($B33="","",IF(ISBLANK(INDIRECT("R9.Web!D"&amp;SUM(18,38*27,14))),"",INDIRECT("R9.Web!D"&amp;SUM(18,38*27,14))))</f>
        <v>Falla</v>
      </c>
      <c r="BL33" s="75" t="str" cm="1">
        <f t="array" aca="1" ref="BL33" ca="1">IF($B33="","",IF(ISBLANK(INDIRECT("R9.Web!D"&amp;SUM(18,38*28,14))),"",INDIRECT("R9.Web!D"&amp;SUM(18,38*28,14))))</f>
        <v>Falla</v>
      </c>
      <c r="BM33" s="75" t="str" cm="1">
        <f t="array" aca="1" ref="BM33" ca="1">IF($B33="","",IF(ISBLANK(INDIRECT("R9.Web!D"&amp;SUM(18,38*29,14))),"",INDIRECT("R9.Web!D"&amp;SUM(18,38*29,14))))</f>
        <v>Falla</v>
      </c>
      <c r="BN33" s="75" t="str" cm="1">
        <f t="array" aca="1" ref="BN33" ca="1">IF($B33="","",IF(ISBLANK(INDIRECT("R9.Web!D"&amp;SUM(18,38*30,14))),"",INDIRECT("R9.Web!D"&amp;SUM(18,38*30,14))))</f>
        <v>Falla</v>
      </c>
      <c r="BO33" s="75" t="str" cm="1">
        <f t="array" aca="1" ref="BO33" ca="1">IF($B33="","",IF(ISBLANK(INDIRECT("R9.Web!D"&amp;SUM(18,38*31,14))),"",INDIRECT("R9.Web!D"&amp;SUM(18,38*31,14))))</f>
        <v>Falla</v>
      </c>
      <c r="BP33" s="75" t="str" cm="1">
        <f t="array" aca="1" ref="BP33" ca="1">IF($B33="","",IF(ISBLANK(INDIRECT("R9.Web!D"&amp;SUM(18,38*32,14))),"",INDIRECT("R9.Web!D"&amp;SUM(18,38*32,14))))</f>
        <v>N/A</v>
      </c>
      <c r="BQ33" s="75" t="str" cm="1">
        <f t="array" aca="1" ref="BQ33" ca="1">IF($B33="","",IF(ISBLANK(INDIRECT("R9.Web!D"&amp;SUM(18,38*33,14))),"",INDIRECT("R9.Web!D"&amp;SUM(18,38*33,14))))</f>
        <v>Pasa</v>
      </c>
      <c r="BR33" s="75" t="str" cm="1">
        <f t="array" aca="1" ref="BR33" ca="1">IF($B33="","",IF(ISBLANK(INDIRECT("R9.Web!D"&amp;SUM(18,38*34,14))),"",INDIRECT("R9.Web!D"&amp;SUM(18,38*34,14))))</f>
        <v>Falla</v>
      </c>
      <c r="BS33" s="75" t="str" cm="1">
        <f t="array" aca="1" ref="BS33" ca="1">IF($B33="","",IF(ISBLANK(INDIRECT("R9.Web!D"&amp;SUM(18,38*35,14))),"",INDIRECT("R9.Web!D"&amp;SUM(18,38*35,14))))</f>
        <v>N/A</v>
      </c>
      <c r="BT33" s="75" t="str" cm="1">
        <f t="array" aca="1" ref="BT33" ca="1">IF($B33="","",IF(ISBLANK(INDIRECT("R9.Web!D"&amp;SUM(18,38*36,14))),"",INDIRECT("R9.Web!D"&amp;SUM(18,38*36,14))))</f>
        <v>Pasa</v>
      </c>
      <c r="BU33" s="75" t="str" cm="1">
        <f t="array" aca="1" ref="BU33" ca="1">IF($B33="","",IF(ISBLANK(INDIRECT("R9.Web!D"&amp;SUM(18,38*37,14))),"",INDIRECT("R9.Web!D"&amp;SUM(18,38*37,14))))</f>
        <v>N/A</v>
      </c>
      <c r="BV33" s="75" t="str" cm="1">
        <f t="array" aca="1" ref="BV33" ca="1">IF($B33="","",IF(ISBLANK(INDIRECT("R9.Web!D"&amp;SUM(18,38*38,14))),"",INDIRECT("R9.Web!D"&amp;SUM(18,38*38,14))))</f>
        <v>Pasa</v>
      </c>
      <c r="BW33" s="75" t="str" cm="1">
        <f t="array" aca="1" ref="BW33" ca="1">IF($B33="","",IF(ISBLANK(INDIRECT("R9.Web!D"&amp;SUM(18,38*39,14))),"",INDIRECT("R9.Web!D"&amp;SUM(18,38*39,14))))</f>
        <v>Pasa</v>
      </c>
      <c r="BX33" s="75" t="str" cm="1">
        <f t="array" aca="1" ref="BX33" ca="1">IF($B33="","",IF(ISBLANK(INDIRECT("R9.Web!D"&amp;SUM(18,38*40,14))),"",INDIRECT("R9.Web!D"&amp;SUM(18,38*40,14))))</f>
        <v>Falla</v>
      </c>
      <c r="BY33" s="75" t="str" cm="1">
        <f t="array" aca="1" ref="BY33" ca="1">IF($B33="","",IF(ISBLANK(INDIRECT("R9.Web!D"&amp;SUM(18,38*41,14))),"",INDIRECT("R9.Web!D"&amp;SUM(18,38*41,14))))</f>
        <v>Pasa</v>
      </c>
      <c r="BZ33" s="75" t="str" cm="1">
        <f t="array" aca="1" ref="BZ33" ca="1">IF($B33="","",IF(ISBLANK(INDIRECT("R9.Web!D"&amp;SUM(18,38*42,14))),"",INDIRECT("R9.Web!D"&amp;SUM(18,38*42,14))))</f>
        <v>N/A</v>
      </c>
      <c r="CA33" s="75" t="str" cm="1">
        <f t="array" aca="1" ref="CA33" ca="1">IF($B33="","",IF(ISBLANK(INDIRECT("R9.Web!D"&amp;SUM(18,38*43,14))),"",INDIRECT("R9.Web!D"&amp;SUM(18,38*43,14))))</f>
        <v>Falla</v>
      </c>
      <c r="CB33" s="75" t="str" cm="1">
        <f t="array" aca="1" ref="CB33" ca="1">IF($B33="","",IF(ISBLANK(INDIRECT("R9.Web!D"&amp;SUM(18,38*44,14))),"",INDIRECT("R9.Web!D"&amp;SUM(18,38*44,14))))</f>
        <v>N/A</v>
      </c>
      <c r="CC33" s="75" t="str" cm="1">
        <f t="array" aca="1" ref="CC33" ca="1">IF($B33="","",IF(ISBLANK(INDIRECT("R9.Web!D"&amp;SUM(18,38*45,14))),"",INDIRECT("R9.Web!D"&amp;SUM(18,38*45,14))))</f>
        <v>N/A</v>
      </c>
      <c r="CD33" s="75" t="str" cm="1">
        <f t="array" aca="1" ref="CD33" ca="1">IF($B33="","",IF(ISBLANK(INDIRECT("R9.Web!D"&amp;SUM(18,38*46,14))),"",INDIRECT("R9.Web!D"&amp;SUM(18,38*46,14))))</f>
        <v>N/A</v>
      </c>
      <c r="CE33" s="75" t="str" cm="1">
        <f t="array" aca="1" ref="CE33" ca="1">IF($B33="","",IF(ISBLANK(INDIRECT("R9.Web!D"&amp;SUM(18,38*47,14))),"",INDIRECT("R9.Web!D"&amp;SUM(18,38*47,14))))</f>
        <v>Pasa</v>
      </c>
      <c r="CF33" s="75" t="str" cm="1">
        <f t="array" aca="1" ref="CF33" ca="1">IF($B33="","",IF(ISBLANK(INDIRECT("R9.Web!D"&amp;SUM(18,38*48,14))),"",INDIRECT("R9.Web!D"&amp;SUM(18,38*48,14))))</f>
        <v>N/A</v>
      </c>
      <c r="CG33" s="75" t="str" cm="1">
        <f t="array" aca="1" ref="CG33" ca="1">IF($B33="","",IF(ISBLANK(INDIRECT("R9.Web!D"&amp;SUM(18,38*49,14))),"",INDIRECT("R9.Web!D"&amp;SUM(18,38*49,14))))</f>
        <v>Falla</v>
      </c>
      <c r="CH33" s="75" t="str" cm="1">
        <f t="array" aca="1" ref="CH33" ca="1">IF($B33="","",IF(ISBLANK(INDIRECT("R11.Software!D"&amp;SUM(18,38*0,14))),"",INDIRECT("R11.Software!D"&amp;SUM(18,38*0,14))))</f>
        <v>Falla</v>
      </c>
      <c r="CI33" s="75" t="str" cm="1">
        <f t="array" aca="1" ref="CI33" ca="1">IF($B33="","",IF(ISBLANK(INDIRECT("R11.Software!D"&amp;SUM(18,38*1,14))),"",INDIRECT("R11.Software!D"&amp;SUM(18,38*1,14))))</f>
        <v>N/A</v>
      </c>
      <c r="CJ33" s="75" t="str" cm="1">
        <f t="array" aca="1" ref="CJ33" ca="1">IF($B33="","",IF(ISBLANK(INDIRECT("R11.Software!D"&amp;SUM(18,38*2,14))),"",INDIRECT("R11.Software!D"&amp;SUM(18,38*2,14))))</f>
        <v>N/A</v>
      </c>
      <c r="CK33" s="75" t="str" cm="1">
        <f t="array" aca="1" ref="CK33" ca="1">IF($B33="","",IF(ISBLANK(INDIRECT("R11.Software!D"&amp;SUM(18,38*3,14))),"",INDIRECT("R11.Software!D"&amp;SUM(18,38*3,14))))</f>
        <v>N/A</v>
      </c>
      <c r="CL33" s="75" t="str" cm="1">
        <f t="array" aca="1" ref="CL33" ca="1">IF($B33="","",IF(ISBLANK(INDIRECT("R11.Software!D"&amp;SUM(18,38*4,14))),"",INDIRECT("R11.Software!D"&amp;SUM(18,38*4,14))))</f>
        <v>N/A</v>
      </c>
      <c r="CM33" s="75" t="str" cm="1">
        <f t="array" aca="1" ref="CM33" ca="1">IF($B33="","",IF(ISBLANK(INDIRECT("R11.Software!D"&amp;SUM(18,38*5,14))),"",INDIRECT("R11.Software!D"&amp;SUM(18,38*5,14))))</f>
        <v>N/A</v>
      </c>
      <c r="CN33" s="75" t="str" cm="1">
        <f t="array" aca="1" ref="CN33" ca="1">IF($B33="","",IF(ISBLANK(INDIRECT("R12.ServiciosApoyo!D"&amp;SUM(18,38*0,14))),"",INDIRECT("R12.ServiciosApoyo!D"&amp;SUM(18,38*0,14))))</f>
        <v>N/A</v>
      </c>
      <c r="CO33" s="75" t="str" cm="1">
        <f t="array" aca="1" ref="CO33" ca="1">IF($B33="","",IF(ISBLANK(INDIRECT("R12.ServiciosApoyo!D"&amp;SUM(18,38*1,14))),"",INDIRECT("R12.ServiciosApoyo!D"&amp;SUM(18,38*1,14))))</f>
        <v>N/A</v>
      </c>
      <c r="CP33" s="75" t="str" cm="1">
        <f t="array" aca="1" ref="CP33" ca="1">IF($B33="","",IF(ISBLANK(INDIRECT("R12.ServiciosApoyo!D"&amp;SUM(18,38*2,14))),"",INDIRECT("R12.ServiciosApoyo!D"&amp;SUM(18,38*2,14))))</f>
        <v>N/A</v>
      </c>
      <c r="CQ33" s="75" t="str" cm="1">
        <f t="array" aca="1" ref="CQ33" ca="1">IF($B33="","",IF(ISBLANK(INDIRECT("R12.ServiciosApoyo!D"&amp;SUM(18,38*3,14))),"",INDIRECT("R12.ServiciosApoyo!D"&amp;SUM(18,38*3,14))))</f>
        <v>N/A</v>
      </c>
      <c r="CR33" s="75" t="str" cm="1">
        <f t="array" aca="1" ref="CR33" ca="1">IF($B33="","",IF(ISBLANK(INDIRECT("R12.ServiciosApoyo!D"&amp;SUM(18,38*4,14))),"",INDIRECT("R12.ServiciosApoyo!D"&amp;SUM(18,38*4,14))))</f>
        <v>N/A</v>
      </c>
      <c r="CU33" s="76"/>
    </row>
    <row r="34" spans="2:99" ht="20.5">
      <c r="B34" s="39" cm="1">
        <f t="array" ref="B34">IFERROR(INDEX('03.Muestra'!$B$8:$B$42,SMALL(IF("Página Web"='03.Muestra'!$D$8:$D$42,ROW('03.Muestra'!$B$8:$B$42)-MIN(ROW('03.Muestra'!$D$8:$D$42))+1,""),ROW()-19)),"")</f>
        <v>15</v>
      </c>
      <c r="C34" s="73" t="str" cm="1">
        <f t="array" ref="C34">IFERROR(INDEX('03.Muestra'!$C$8:$C$42,SMALL(IF("Página Web"='03.Muestra'!$D$8:$D$42,ROW('03.Muestra'!$C$8:$C$42)-MIN(ROW('03.Muestra'!$D$8:$D$42))+1,""),ROW()-19)),"")</f>
        <v>Voto por correo elector CERA en España</v>
      </c>
      <c r="D34" s="74" t="str" cm="1">
        <f t="array" ref="D34">IFERROR(INDEX('03.Muestra'!$F$8:$F$42,SMALL(IF("Página Web"='03.Muestra'!$D$8:$D$42,ROW('03.Muestra'!$F$8:$F$42)-MIN(ROW('03.Muestra'!$D$8:$D$42))+1,""),ROW()-19)),"")</f>
        <v>https://elecciones.comunidad.madrid/es/preguntas-frecuentes/voto-correo-electores-residentes-extranjero</v>
      </c>
      <c r="E34" s="75" t="str" cm="1">
        <f t="array" aca="1" ref="E34" ca="1">IF($B34="","",IF(ISBLANK(INDIRECT("R5.Genéricos!D"&amp;SUM(18,38*0,15))),"",INDIRECT("R5.Genéricos!D"&amp;SUM(18,38*0,15))))</f>
        <v>Falla</v>
      </c>
      <c r="F34" s="75" t="str" cm="1">
        <f t="array" aca="1" ref="F34" ca="1">IF($B34="","",IF(ISBLANK(INDIRECT("R5.Genéricos!D"&amp;SUM(18,38*1,15))),"",INDIRECT("R5.Genéricos!D"&amp;SUM(18,38*1,15))))</f>
        <v>N/A</v>
      </c>
      <c r="G34" s="75" t="str" cm="1">
        <f t="array" aca="1" ref="G34" ca="1">IF($B34="","",IF(ISBLANK(INDIRECT("R5.Genéricos!D"&amp;SUM(18,38*2,15))),"",INDIRECT("R5.Genéricos!D"&amp;SUM(18,38*2,15))))</f>
        <v>N/A</v>
      </c>
      <c r="H34" s="75" t="str" cm="1">
        <f t="array" aca="1" ref="H34" ca="1">IF($B34="","",IF(ISBLANK(INDIRECT("R6.Voz!D"&amp;SUM(18,38*0,15))),"",INDIRECT("R6.Voz!D"&amp;SUM(18,38*0,15))))</f>
        <v>N/A</v>
      </c>
      <c r="I34" s="75" t="str" cm="1">
        <f t="array" aca="1" ref="I34" ca="1">IF($B34="","",IF(ISBLANK(INDIRECT("R6.Voz!D"&amp;SUM(18,38*1,15))),"",INDIRECT("R6.Voz!D"&amp;SUM(18,38*1,15))))</f>
        <v>N/A</v>
      </c>
      <c r="J34" s="75" t="str" cm="1">
        <f t="array" aca="1" ref="J34" ca="1">IF($B34="","",IF(ISBLANK(INDIRECT("R6.Voz!D"&amp;SUM(18,38*2,15))),"",INDIRECT("R6.Voz!D"&amp;SUM(18,38*2,15))))</f>
        <v>N/A</v>
      </c>
      <c r="K34" s="75" t="str" cm="1">
        <f t="array" aca="1" ref="K34" ca="1">IF($B34="","",IF(ISBLANK(INDIRECT("R6.Voz!D"&amp;SUM(18,38*3,15))),"",INDIRECT("R6.Voz!D"&amp;SUM(18,38*3,15))))</f>
        <v>N/A</v>
      </c>
      <c r="L34" s="75" t="str" cm="1">
        <f t="array" aca="1" ref="L34" ca="1">IF($B34="","",IF(ISBLANK(INDIRECT("R6.Voz!D"&amp;SUM(18,38*4,15))),"",INDIRECT("R6.Voz!D"&amp;SUM(18,38*4,15))))</f>
        <v>N/A</v>
      </c>
      <c r="M34" s="75" t="str" cm="1">
        <f t="array" aca="1" ref="M34" ca="1">IF($B34="","",IF(ISBLANK(INDIRECT("R6.Voz!D"&amp;SUM(18,38*5,15))),"",INDIRECT("R6.Voz!D"&amp;SUM(18,38*5,15))))</f>
        <v>N/A</v>
      </c>
      <c r="N34" s="75" t="str" cm="1">
        <f t="array" aca="1" ref="N34" ca="1">IF($B34="","",IF(ISBLANK(INDIRECT("R6.Voz!D"&amp;SUM(18,38*6,15))),"",INDIRECT("R6.Voz!D"&amp;SUM(18,38*6,15))))</f>
        <v>N/A</v>
      </c>
      <c r="O34" s="75" t="str" cm="1">
        <f t="array" aca="1" ref="O34" ca="1">IF($B34="","",IF(ISBLANK(INDIRECT("R6.Voz!D"&amp;SUM(18,38*7,15))),"",INDIRECT("R6.Voz!D"&amp;SUM(18,38*7,15))))</f>
        <v>N/A</v>
      </c>
      <c r="P34" s="75" t="str" cm="1">
        <f t="array" aca="1" ref="P34" ca="1">IF($B34="","",IF(ISBLANK(INDIRECT("R6.Voz!D"&amp;SUM(18,38*8,15))),"",INDIRECT("R6.Voz!D"&amp;SUM(18,38*8,15))))</f>
        <v>N/A</v>
      </c>
      <c r="Q34" s="75" t="str" cm="1">
        <f t="array" aca="1" ref="Q34" ca="1">IF($B34="","",IF(ISBLANK(INDIRECT("R6.Voz!D"&amp;SUM(18,38*9,15))),"",INDIRECT("R6.Voz!D"&amp;SUM(18,38*9,15))))</f>
        <v>N/A</v>
      </c>
      <c r="R34" s="75" t="str" cm="1">
        <f t="array" aca="1" ref="R34" ca="1">IF($B34="","",IF(ISBLANK(INDIRECT("R6.Voz!D"&amp;SUM(18,38*10,15))),"",INDIRECT("R6.Voz!D"&amp;SUM(18,38*10,15))))</f>
        <v>N/A</v>
      </c>
      <c r="S34" s="75" t="str" cm="1">
        <f t="array" aca="1" ref="S34" ca="1">IF($B34="","",IF(ISBLANK(INDIRECT("R6.Voz!D"&amp;SUM(18,38*11,15))),"",INDIRECT("R6.Voz!D"&amp;SUM(18,38*11,15))))</f>
        <v>N/A</v>
      </c>
      <c r="T34" s="75" t="str" cm="1">
        <f t="array" aca="1" ref="T34" ca="1">IF($B34="","",IF(ISBLANK(INDIRECT("R6.Voz!D"&amp;SUM(18,38*12,15))),"",INDIRECT("R6.Voz!D"&amp;SUM(18,38*12,15))))</f>
        <v>N/A</v>
      </c>
      <c r="U34" s="75" t="str" cm="1">
        <f t="array" aca="1" ref="U34" ca="1">IF($B34="","",IF(ISBLANK(INDIRECT("R6.Voz!D"&amp;SUM(18,38*13,15))),"",INDIRECT("R6.Voz!D"&amp;SUM(18,38*13,15))))</f>
        <v>N/A</v>
      </c>
      <c r="V34" s="75" t="str" cm="1">
        <f t="array" aca="1" ref="V34" ca="1">IF($B34="","",IF(ISBLANK(INDIRECT("R6.Voz!D"&amp;SUM(18,38*14,15))),"",INDIRECT("R6.Voz!D"&amp;SUM(18,38*14,15))))</f>
        <v>N/A</v>
      </c>
      <c r="W34" s="75" t="str" cm="1">
        <f t="array" aca="1" ref="W34" ca="1">IF($B34="","",IF(ISBLANK(INDIRECT("R6.Voz!D"&amp;SUM(18,38*15,15))),"",INDIRECT("R6.Voz!D"&amp;SUM(18,38*15,15))))</f>
        <v>N/A</v>
      </c>
      <c r="X34" s="75" t="str" cm="1">
        <f t="array" aca="1" ref="X34" ca="1">IF($B34="","",IF(ISBLANK(INDIRECT("R6.Voz!D"&amp;SUM(18,38*16,15))),"",INDIRECT("R6.Voz!D"&amp;SUM(18,38*16,15))))</f>
        <v>N/A</v>
      </c>
      <c r="Y34" s="75" t="str" cm="1">
        <f t="array" aca="1" ref="Y34" ca="1">IF($B34="","",IF(ISBLANK(INDIRECT("R6.Voz!D"&amp;SUM(18,38*17,15))),"",INDIRECT("R6.Voz!D"&amp;SUM(18,38*17,15))))</f>
        <v>N/A</v>
      </c>
      <c r="Z34" s="75" t="str" cm="1">
        <f t="array" aca="1" ref="Z34" ca="1">IF($B34="","",IF(ISBLANK(INDIRECT("R6.Voz!D"&amp;SUM(18,38*18,15))),"",INDIRECT("R6.Voz!D"&amp;SUM(18,38*18,15))))</f>
        <v>N/A</v>
      </c>
      <c r="AA34" s="75" t="str" cm="1">
        <f t="array" aca="1" ref="AA34" ca="1">IF($B34="","",IF(ISBLANK(INDIRECT("R7.Video!D"&amp;SUM(18,38*0,15))),"",INDIRECT("R7.Video!D"&amp;SUM(18,38*0,15))))</f>
        <v>N/A</v>
      </c>
      <c r="AB34" s="75" t="str" cm="1">
        <f t="array" aca="1" ref="AB34" ca="1">IF($B34="","",IF(ISBLANK(INDIRECT("R7.Video!D"&amp;SUM(18,38*1,15))),"",INDIRECT("R7.Video!D"&amp;SUM(18,38*1,15))))</f>
        <v>N/A</v>
      </c>
      <c r="AC34" s="75" t="str" cm="1">
        <f t="array" aca="1" ref="AC34" ca="1">IF($B34="","",IF(ISBLANK(INDIRECT("R7.Video!D"&amp;SUM(18,38*2,15))),"",INDIRECT("R7.Video!D"&amp;SUM(18,38*2,15))))</f>
        <v>N/A</v>
      </c>
      <c r="AD34" s="75" t="str" cm="1">
        <f t="array" aca="1" ref="AD34" ca="1">IF($B34="","",IF(ISBLANK(INDIRECT("R7.Video!D"&amp;SUM(18,38*3,15))),"",INDIRECT("R7.Video!D"&amp;SUM(18,38*3,15))))</f>
        <v>N/A</v>
      </c>
      <c r="AE34" s="75" t="str" cm="1">
        <f t="array" aca="1" ref="AE34" ca="1">IF($B34="","",IF(ISBLANK(INDIRECT("R7.Video!D"&amp;SUM(18,38*4,15))),"",INDIRECT("R7.Video!D"&amp;SUM(18,38*4,15))))</f>
        <v>N/A</v>
      </c>
      <c r="AF34" s="75" t="str" cm="1">
        <f t="array" aca="1" ref="AF34" ca="1">IF($B34="","",IF(ISBLANK(INDIRECT("R7.Video!D"&amp;SUM(18,38*5,15))),"",INDIRECT("R7.Video!D"&amp;SUM(18,38*5,15))))</f>
        <v>N/A</v>
      </c>
      <c r="AG34" s="75" t="str" cm="1">
        <f t="array" aca="1" ref="AG34" ca="1">IF($B34="","",IF(ISBLANK(INDIRECT("R7.Video!D"&amp;SUM(18,38*6,15))),"",INDIRECT("R7.Video!D"&amp;SUM(18,38*6,15))))</f>
        <v>N/A</v>
      </c>
      <c r="AH34" s="75" t="str" cm="1">
        <f t="array" aca="1" ref="AH34" ca="1">IF($B34="","",IF(ISBLANK(INDIRECT("R7.Video!D"&amp;SUM(18,38*7,15))),"",INDIRECT("R7.Video!D"&amp;SUM(18,38*7,15))))</f>
        <v>N/A</v>
      </c>
      <c r="AI34" s="75" t="str" cm="1">
        <f t="array" aca="1" ref="AI34" ca="1">IF($B34="","",IF(ISBLANK(INDIRECT("R7.Video!D"&amp;SUM(18,38*8,15))),"",INDIRECT("R7.Video!D"&amp;SUM(18,38*8,15))))</f>
        <v>N/A</v>
      </c>
      <c r="AJ34" s="75" t="str" cm="1">
        <f t="array" aca="1" ref="AJ34" ca="1">IF($B34="","",IF(ISBLANK(INDIRECT("R9.Web!D"&amp;SUM(18,38*0,15))),"",INDIRECT("R9.Web!D"&amp;SUM(18,38*0,15))))</f>
        <v>Pasa</v>
      </c>
      <c r="AK34" s="75" t="str" cm="1">
        <f t="array" aca="1" ref="AK34" ca="1">IF($B34="","",IF(ISBLANK(INDIRECT("R9.Web!D"&amp;SUM(18,38*1,15))),"",INDIRECT("R9.Web!D"&amp;SUM(18,38*1,15))))</f>
        <v>N/A</v>
      </c>
      <c r="AL34" s="75" t="str" cm="1">
        <f t="array" aca="1" ref="AL34" ca="1">IF($B34="","",IF(ISBLANK(INDIRECT("R9.Web!D"&amp;SUM(18,38*2,15))),"",INDIRECT("R9.Web!D"&amp;SUM(18,38*2,15))))</f>
        <v>N/A</v>
      </c>
      <c r="AM34" s="75" t="str" cm="1">
        <f t="array" aca="1" ref="AM34" ca="1">IF($B34="","",IF(ISBLANK(INDIRECT("R9.Web!D"&amp;SUM(18,38*3,15))),"",INDIRECT("R9.Web!D"&amp;SUM(18,38*3,15))))</f>
        <v>N/A</v>
      </c>
      <c r="AN34" s="75" t="str" cm="1">
        <f t="array" aca="1" ref="AN34" ca="1">IF($B34="","",IF(ISBLANK(INDIRECT("R9.Web!D"&amp;SUM(18,38*4,15))),"",INDIRECT("R9.Web!D"&amp;SUM(18,38*4,15))))</f>
        <v>N/A</v>
      </c>
      <c r="AO34" s="75" t="str" cm="1">
        <f t="array" aca="1" ref="AO34" ca="1">IF($B34="","",IF(ISBLANK(INDIRECT("R9.Web!D"&amp;SUM(18,38*5,15))),"",INDIRECT("R9.Web!D"&amp;SUM(18,38*5,15))))</f>
        <v>Falla</v>
      </c>
      <c r="AP34" s="75" t="str" cm="1">
        <f t="array" aca="1" ref="AP34" ca="1">IF($B34="","",IF(ISBLANK(INDIRECT("R9.Web!D"&amp;SUM(18,38*6,15))),"",INDIRECT("R9.Web!D"&amp;SUM(18,38*6,15))))</f>
        <v>Falla</v>
      </c>
      <c r="AQ34" s="75" t="str" cm="1">
        <f t="array" aca="1" ref="AQ34" ca="1">IF($B34="","",IF(ISBLANK(INDIRECT("R9.Web!D"&amp;SUM(18,38*7,15))),"",INDIRECT("R9.Web!D"&amp;SUM(18,38*7,15))))</f>
        <v>Falla</v>
      </c>
      <c r="AR34" s="75" t="str" cm="1">
        <f t="array" aca="1" ref="AR34" ca="1">IF($B34="","",IF(ISBLANK(INDIRECT("R9.Web!D"&amp;SUM(18,38*8,15))),"",INDIRECT("R9.Web!D"&amp;SUM(18,38*8,15))))</f>
        <v>Falla</v>
      </c>
      <c r="AS34" s="75" t="str" cm="1">
        <f t="array" aca="1" ref="AS34" ca="1">IF($B34="","",IF(ISBLANK(INDIRECT("R9.Web!D"&amp;SUM(18,38*9,15))),"",INDIRECT("R9.Web!D"&amp;SUM(18,38*9,15))))</f>
        <v>N/A</v>
      </c>
      <c r="AT34" s="75" t="str" cm="1">
        <f t="array" aca="1" ref="AT34" ca="1">IF($B34="","",IF(ISBLANK(INDIRECT("R9.Web!D"&amp;SUM(18,38*10,15))),"",INDIRECT("R9.Web!D"&amp;SUM(18,38*10,15))))</f>
        <v>Pasa</v>
      </c>
      <c r="AU34" s="75" t="str" cm="1">
        <f t="array" aca="1" ref="AU34" ca="1">IF($B34="","",IF(ISBLANK(INDIRECT("R9.Web!D"&amp;SUM(18,38*11,15))),"",INDIRECT("R9.Web!D"&amp;SUM(18,38*11,15))))</f>
        <v>N/A</v>
      </c>
      <c r="AV34" s="75" t="str" cm="1">
        <f t="array" aca="1" ref="AV34" ca="1">IF($B34="","",IF(ISBLANK(INDIRECT("R9.Web!D"&amp;SUM(18,38*12,15))),"",INDIRECT("R9.Web!D"&amp;SUM(18,38*12,15))))</f>
        <v>Pasa</v>
      </c>
      <c r="AW34" s="75" t="str" cm="1">
        <f t="array" aca="1" ref="AW34" ca="1">IF($B34="","",IF(ISBLANK(INDIRECT("R9.Web!D"&amp;SUM(18,38*13,15))),"",INDIRECT("R9.Web!D"&amp;SUM(18,38*13,15))))</f>
        <v>Falla</v>
      </c>
      <c r="AX34" s="75" t="str" cm="1">
        <f t="array" aca="1" ref="AX34" ca="1">IF($B34="","",IF(ISBLANK(INDIRECT("R9.Web!D"&amp;SUM(18,38*14,15))),"",INDIRECT("R9.Web!D"&amp;SUM(18,38*14,15))))</f>
        <v>N/A</v>
      </c>
      <c r="AY34" s="75" t="str" cm="1">
        <f t="array" aca="1" ref="AY34" ca="1">IF($B34="","",IF(ISBLANK(INDIRECT("R9.Web!D"&amp;SUM(18,38*15,15))),"",INDIRECT("R9.Web!D"&amp;SUM(18,38*15,15))))</f>
        <v>Falla</v>
      </c>
      <c r="AZ34" s="75" t="str" cm="1">
        <f t="array" aca="1" ref="AZ34" ca="1">IF($B34="","",IF(ISBLANK(INDIRECT("R9.Web!D"&amp;SUM(18,38*16,15))),"",INDIRECT("R9.Web!D"&amp;SUM(18,38*16,15))))</f>
        <v>Falla</v>
      </c>
      <c r="BA34" s="75" t="str" cm="1">
        <f t="array" aca="1" ref="BA34" ca="1">IF($B34="","",IF(ISBLANK(INDIRECT("R9.Web!D"&amp;SUM(18,38*17,15))),"",INDIRECT("R9.Web!D"&amp;SUM(18,38*17,15))))</f>
        <v>Pasa</v>
      </c>
      <c r="BB34" s="75" t="str" cm="1">
        <f t="array" aca="1" ref="BB34" ca="1">IF($B34="","",IF(ISBLANK(INDIRECT("R9.Web!D"&amp;SUM(18,38*18,15))),"",INDIRECT("R9.Web!D"&amp;SUM(18,38*18,15))))</f>
        <v>Falla</v>
      </c>
      <c r="BC34" s="75" t="str" cm="1">
        <f t="array" aca="1" ref="BC34" ca="1">IF($B34="","",IF(ISBLANK(INDIRECT("R9.Web!D"&amp;SUM(18,38*19,15))),"",INDIRECT("R9.Web!D"&amp;SUM(18,38*19,15))))</f>
        <v>Falla</v>
      </c>
      <c r="BD34" s="75" t="str" cm="1">
        <f t="array" aca="1" ref="BD34" ca="1">IF($B34="","",IF(ISBLANK(INDIRECT("R9.Web!D"&amp;SUM(18,38*20,15))),"",INDIRECT("R9.Web!D"&amp;SUM(18,38*20,15))))</f>
        <v>Pasa</v>
      </c>
      <c r="BE34" s="75" t="str" cm="1">
        <f t="array" aca="1" ref="BE34" ca="1">IF($B34="","",IF(ISBLANK(INDIRECT("R9.Web!D"&amp;SUM(18,38*21,15))),"",INDIRECT("R9.Web!D"&amp;SUM(18,38*21,15))))</f>
        <v>N/A</v>
      </c>
      <c r="BF34" s="75" t="str" cm="1">
        <f t="array" aca="1" ref="BF34" ca="1">IF($B34="","",IF(ISBLANK(INDIRECT("R9.Web!D"&amp;SUM(18,38*22,15))),"",INDIRECT("R9.Web!D"&amp;SUM(18,38*22,15))))</f>
        <v>Pasa</v>
      </c>
      <c r="BG34" s="75" t="str" cm="1">
        <f t="array" aca="1" ref="BG34" ca="1">IF($B34="","",IF(ISBLANK(INDIRECT("R9.Web!D"&amp;SUM(18,38*23,15))),"",INDIRECT("R9.Web!D"&amp;SUM(18,38*23,15))))</f>
        <v>N/A</v>
      </c>
      <c r="BH34" s="75" t="str" cm="1">
        <f t="array" aca="1" ref="BH34" ca="1">IF($B34="","",IF(ISBLANK(INDIRECT("R9.Web!D"&amp;SUM(18,38*24,15))),"",INDIRECT("R9.Web!D"&amp;SUM(18,38*24,15))))</f>
        <v>N/A</v>
      </c>
      <c r="BI34" s="75" t="str" cm="1">
        <f t="array" aca="1" ref="BI34" ca="1">IF($B34="","",IF(ISBLANK(INDIRECT("R9.Web!D"&amp;SUM(18,38*25,15))),"",INDIRECT("R9.Web!D"&amp;SUM(18,38*25,15))))</f>
        <v>Pasa</v>
      </c>
      <c r="BJ34" s="75" t="str" cm="1">
        <f t="array" aca="1" ref="BJ34" ca="1">IF($B34="","",IF(ISBLANK(INDIRECT("R9.Web!D"&amp;SUM(18,38*26,15))),"",INDIRECT("R9.Web!D"&amp;SUM(18,38*26,15))))</f>
        <v>Pasa</v>
      </c>
      <c r="BK34" s="75" t="str" cm="1">
        <f t="array" aca="1" ref="BK34" ca="1">IF($B34="","",IF(ISBLANK(INDIRECT("R9.Web!D"&amp;SUM(18,38*27,15))),"",INDIRECT("R9.Web!D"&amp;SUM(18,38*27,15))))</f>
        <v>Falla</v>
      </c>
      <c r="BL34" s="75" t="str" cm="1">
        <f t="array" aca="1" ref="BL34" ca="1">IF($B34="","",IF(ISBLANK(INDIRECT("R9.Web!D"&amp;SUM(18,38*28,15))),"",INDIRECT("R9.Web!D"&amp;SUM(18,38*28,15))))</f>
        <v>Falla</v>
      </c>
      <c r="BM34" s="75" t="str" cm="1">
        <f t="array" aca="1" ref="BM34" ca="1">IF($B34="","",IF(ISBLANK(INDIRECT("R9.Web!D"&amp;SUM(18,38*29,15))),"",INDIRECT("R9.Web!D"&amp;SUM(18,38*29,15))))</f>
        <v>Pasa</v>
      </c>
      <c r="BN34" s="75" t="str" cm="1">
        <f t="array" aca="1" ref="BN34" ca="1">IF($B34="","",IF(ISBLANK(INDIRECT("R9.Web!D"&amp;SUM(18,38*30,15))),"",INDIRECT("R9.Web!D"&amp;SUM(18,38*30,15))))</f>
        <v>Pasa</v>
      </c>
      <c r="BO34" s="75" t="str" cm="1">
        <f t="array" aca="1" ref="BO34" ca="1">IF($B34="","",IF(ISBLANK(INDIRECT("R9.Web!D"&amp;SUM(18,38*31,15))),"",INDIRECT("R9.Web!D"&amp;SUM(18,38*31,15))))</f>
        <v>Falla</v>
      </c>
      <c r="BP34" s="75" t="str" cm="1">
        <f t="array" aca="1" ref="BP34" ca="1">IF($B34="","",IF(ISBLANK(INDIRECT("R9.Web!D"&amp;SUM(18,38*32,15))),"",INDIRECT("R9.Web!D"&amp;SUM(18,38*32,15))))</f>
        <v>N/A</v>
      </c>
      <c r="BQ34" s="75" t="str" cm="1">
        <f t="array" aca="1" ref="BQ34" ca="1">IF($B34="","",IF(ISBLANK(INDIRECT("R9.Web!D"&amp;SUM(18,38*33,15))),"",INDIRECT("R9.Web!D"&amp;SUM(18,38*33,15))))</f>
        <v>Pasa</v>
      </c>
      <c r="BR34" s="75" t="str" cm="1">
        <f t="array" aca="1" ref="BR34" ca="1">IF($B34="","",IF(ISBLANK(INDIRECT("R9.Web!D"&amp;SUM(18,38*34,15))),"",INDIRECT("R9.Web!D"&amp;SUM(18,38*34,15))))</f>
        <v>Falla</v>
      </c>
      <c r="BS34" s="75" t="str" cm="1">
        <f t="array" aca="1" ref="BS34" ca="1">IF($B34="","",IF(ISBLANK(INDIRECT("R9.Web!D"&amp;SUM(18,38*35,15))),"",INDIRECT("R9.Web!D"&amp;SUM(18,38*35,15))))</f>
        <v>N/A</v>
      </c>
      <c r="BT34" s="75" t="str" cm="1">
        <f t="array" aca="1" ref="BT34" ca="1">IF($B34="","",IF(ISBLANK(INDIRECT("R9.Web!D"&amp;SUM(18,38*36,15))),"",INDIRECT("R9.Web!D"&amp;SUM(18,38*36,15))))</f>
        <v>Pasa</v>
      </c>
      <c r="BU34" s="75" t="str" cm="1">
        <f t="array" aca="1" ref="BU34" ca="1">IF($B34="","",IF(ISBLANK(INDIRECT("R9.Web!D"&amp;SUM(18,38*37,15))),"",INDIRECT("R9.Web!D"&amp;SUM(18,38*37,15))))</f>
        <v>N/A</v>
      </c>
      <c r="BV34" s="75" t="str" cm="1">
        <f t="array" aca="1" ref="BV34" ca="1">IF($B34="","",IF(ISBLANK(INDIRECT("R9.Web!D"&amp;SUM(18,38*38,15))),"",INDIRECT("R9.Web!D"&amp;SUM(18,38*38,15))))</f>
        <v>Pasa</v>
      </c>
      <c r="BW34" s="75" t="str" cm="1">
        <f t="array" aca="1" ref="BW34" ca="1">IF($B34="","",IF(ISBLANK(INDIRECT("R9.Web!D"&amp;SUM(18,38*39,15))),"",INDIRECT("R9.Web!D"&amp;SUM(18,38*39,15))))</f>
        <v>Pasa</v>
      </c>
      <c r="BX34" s="75" t="str" cm="1">
        <f t="array" aca="1" ref="BX34" ca="1">IF($B34="","",IF(ISBLANK(INDIRECT("R9.Web!D"&amp;SUM(18,38*40,15))),"",INDIRECT("R9.Web!D"&amp;SUM(18,38*40,15))))</f>
        <v>Falla</v>
      </c>
      <c r="BY34" s="75" t="str" cm="1">
        <f t="array" aca="1" ref="BY34" ca="1">IF($B34="","",IF(ISBLANK(INDIRECT("R9.Web!D"&amp;SUM(18,38*41,15))),"",INDIRECT("R9.Web!D"&amp;SUM(18,38*41,15))))</f>
        <v>Pasa</v>
      </c>
      <c r="BZ34" s="75" t="str" cm="1">
        <f t="array" aca="1" ref="BZ34" ca="1">IF($B34="","",IF(ISBLANK(INDIRECT("R9.Web!D"&amp;SUM(18,38*42,15))),"",INDIRECT("R9.Web!D"&amp;SUM(18,38*42,15))))</f>
        <v>N/A</v>
      </c>
      <c r="CA34" s="75" t="str" cm="1">
        <f t="array" aca="1" ref="CA34" ca="1">IF($B34="","",IF(ISBLANK(INDIRECT("R9.Web!D"&amp;SUM(18,38*43,15))),"",INDIRECT("R9.Web!D"&amp;SUM(18,38*43,15))))</f>
        <v>Pasa</v>
      </c>
      <c r="CB34" s="75" t="str" cm="1">
        <f t="array" aca="1" ref="CB34" ca="1">IF($B34="","",IF(ISBLANK(INDIRECT("R9.Web!D"&amp;SUM(18,38*44,15))),"",INDIRECT("R9.Web!D"&amp;SUM(18,38*44,15))))</f>
        <v>N/A</v>
      </c>
      <c r="CC34" s="75" t="str" cm="1">
        <f t="array" aca="1" ref="CC34" ca="1">IF($B34="","",IF(ISBLANK(INDIRECT("R9.Web!D"&amp;SUM(18,38*45,15))),"",INDIRECT("R9.Web!D"&amp;SUM(18,38*45,15))))</f>
        <v>N/A</v>
      </c>
      <c r="CD34" s="75" t="str" cm="1">
        <f t="array" aca="1" ref="CD34" ca="1">IF($B34="","",IF(ISBLANK(INDIRECT("R9.Web!D"&amp;SUM(18,38*46,15))),"",INDIRECT("R9.Web!D"&amp;SUM(18,38*46,15))))</f>
        <v>N/A</v>
      </c>
      <c r="CE34" s="75" t="str" cm="1">
        <f t="array" aca="1" ref="CE34" ca="1">IF($B34="","",IF(ISBLANK(INDIRECT("R9.Web!D"&amp;SUM(18,38*47,15))),"",INDIRECT("R9.Web!D"&amp;SUM(18,38*47,15))))</f>
        <v>Pasa</v>
      </c>
      <c r="CF34" s="75" t="str" cm="1">
        <f t="array" aca="1" ref="CF34" ca="1">IF($B34="","",IF(ISBLANK(INDIRECT("R9.Web!D"&amp;SUM(18,38*48,15))),"",INDIRECT("R9.Web!D"&amp;SUM(18,38*48,15))))</f>
        <v>N/A</v>
      </c>
      <c r="CG34" s="75" t="str" cm="1">
        <f t="array" aca="1" ref="CG34" ca="1">IF($B34="","",IF(ISBLANK(INDIRECT("R9.Web!D"&amp;SUM(18,38*49,15))),"",INDIRECT("R9.Web!D"&amp;SUM(18,38*49,15))))</f>
        <v>Falla</v>
      </c>
      <c r="CH34" s="75" t="str" cm="1">
        <f t="array" aca="1" ref="CH34" ca="1">IF($B34="","",IF(ISBLANK(INDIRECT("R11.Software!D"&amp;SUM(18,38*0,15))),"",INDIRECT("R11.Software!D"&amp;SUM(18,38*0,15))))</f>
        <v>Falla</v>
      </c>
      <c r="CI34" s="75" t="str" cm="1">
        <f t="array" aca="1" ref="CI34" ca="1">IF($B34="","",IF(ISBLANK(INDIRECT("R11.Software!D"&amp;SUM(18,38*1,15))),"",INDIRECT("R11.Software!D"&amp;SUM(18,38*1,15))))</f>
        <v>N/A</v>
      </c>
      <c r="CJ34" s="75" t="str" cm="1">
        <f t="array" aca="1" ref="CJ34" ca="1">IF($B34="","",IF(ISBLANK(INDIRECT("R11.Software!D"&amp;SUM(18,38*2,15))),"",INDIRECT("R11.Software!D"&amp;SUM(18,38*2,15))))</f>
        <v>N/A</v>
      </c>
      <c r="CK34" s="75" t="str" cm="1">
        <f t="array" aca="1" ref="CK34" ca="1">IF($B34="","",IF(ISBLANK(INDIRECT("R11.Software!D"&amp;SUM(18,38*3,15))),"",INDIRECT("R11.Software!D"&amp;SUM(18,38*3,15))))</f>
        <v>N/A</v>
      </c>
      <c r="CL34" s="75" t="str" cm="1">
        <f t="array" aca="1" ref="CL34" ca="1">IF($B34="","",IF(ISBLANK(INDIRECT("R11.Software!D"&amp;SUM(18,38*4,15))),"",INDIRECT("R11.Software!D"&amp;SUM(18,38*4,15))))</f>
        <v>N/A</v>
      </c>
      <c r="CM34" s="75" t="str" cm="1">
        <f t="array" aca="1" ref="CM34" ca="1">IF($B34="","",IF(ISBLANK(INDIRECT("R11.Software!D"&amp;SUM(18,38*5,15))),"",INDIRECT("R11.Software!D"&amp;SUM(18,38*5,15))))</f>
        <v>N/A</v>
      </c>
      <c r="CN34" s="75" t="str" cm="1">
        <f t="array" aca="1" ref="CN34" ca="1">IF($B34="","",IF(ISBLANK(INDIRECT("R12.ServiciosApoyo!D"&amp;SUM(18,38*0,15))),"",INDIRECT("R12.ServiciosApoyo!D"&amp;SUM(18,38*0,15))))</f>
        <v>N/A</v>
      </c>
      <c r="CO34" s="75" t="str" cm="1">
        <f t="array" aca="1" ref="CO34" ca="1">IF($B34="","",IF(ISBLANK(INDIRECT("R12.ServiciosApoyo!D"&amp;SUM(18,38*1,15))),"",INDIRECT("R12.ServiciosApoyo!D"&amp;SUM(18,38*1,15))))</f>
        <v>N/A</v>
      </c>
      <c r="CP34" s="75" t="str" cm="1">
        <f t="array" aca="1" ref="CP34" ca="1">IF($B34="","",IF(ISBLANK(INDIRECT("R12.ServiciosApoyo!D"&amp;SUM(18,38*2,15))),"",INDIRECT("R12.ServiciosApoyo!D"&amp;SUM(18,38*2,15))))</f>
        <v>N/A</v>
      </c>
      <c r="CQ34" s="75" t="str" cm="1">
        <f t="array" aca="1" ref="CQ34" ca="1">IF($B34="","",IF(ISBLANK(INDIRECT("R12.ServiciosApoyo!D"&amp;SUM(18,38*3,15))),"",INDIRECT("R12.ServiciosApoyo!D"&amp;SUM(18,38*3,15))))</f>
        <v>N/A</v>
      </c>
      <c r="CR34" s="75" t="str" cm="1">
        <f t="array" aca="1" ref="CR34" ca="1">IF($B34="","",IF(ISBLANK(INDIRECT("R12.ServiciosApoyo!D"&amp;SUM(18,38*4,15))),"",INDIRECT("R12.ServiciosApoyo!D"&amp;SUM(18,38*4,15))))</f>
        <v>N/A</v>
      </c>
      <c r="CU34" s="76"/>
    </row>
    <row r="35" spans="2:99" ht="20.5">
      <c r="B35" s="39" cm="1">
        <f t="array" ref="B35">IFERROR(INDEX('03.Muestra'!$B$8:$B$42,SMALL(IF("Página Web"='03.Muestra'!$D$8:$D$42,ROW('03.Muestra'!$B$8:$B$42)-MIN(ROW('03.Muestra'!$D$8:$D$42))+1,""),ROW()-19)),"")</f>
        <v>16</v>
      </c>
      <c r="C35" s="73" t="str" cm="1">
        <f t="array" ref="C35">IFERROR(INDEX('03.Muestra'!$C$8:$C$42,SMALL(IF("Página Web"='03.Muestra'!$D$8:$D$42,ROW('03.Muestra'!$C$8:$C$42)-MIN(ROW('03.Muestra'!$D$8:$D$42))+1,""),ROW()-19)),"")</f>
        <v>Contacto</v>
      </c>
      <c r="D35" s="74" t="str" cm="1">
        <f t="array" ref="D35">IFERROR(INDEX('03.Muestra'!$F$8:$F$42,SMALL(IF("Página Web"='03.Muestra'!$D$8:$D$42,ROW('03.Muestra'!$F$8:$F$42)-MIN(ROW('03.Muestra'!$D$8:$D$42))+1,""),ROW()-19)),"")</f>
        <v>https://elecciones.comunidad.madrid/es/buzon-de-sugerencias</v>
      </c>
      <c r="E35" s="75" t="str" cm="1">
        <f t="array" aca="1" ref="E35" ca="1">IF($B35="","",IF(ISBLANK(INDIRECT("R5.Genéricos!D"&amp;SUM(18,38*0,16))),"",INDIRECT("R5.Genéricos!D"&amp;SUM(18,38*0,16))))</f>
        <v>N/A</v>
      </c>
      <c r="F35" s="75" t="str" cm="1">
        <f t="array" aca="1" ref="F35" ca="1">IF($B35="","",IF(ISBLANK(INDIRECT("R5.Genéricos!D"&amp;SUM(18,38*1,16))),"",INDIRECT("R5.Genéricos!D"&amp;SUM(18,38*1,16))))</f>
        <v>N/A</v>
      </c>
      <c r="G35" s="75" t="str" cm="1">
        <f t="array" aca="1" ref="G35" ca="1">IF($B35="","",IF(ISBLANK(INDIRECT("R5.Genéricos!D"&amp;SUM(18,38*2,16))),"",INDIRECT("R5.Genéricos!D"&amp;SUM(18,38*2,16))))</f>
        <v>N/A</v>
      </c>
      <c r="H35" s="75" t="str" cm="1">
        <f t="array" aca="1" ref="H35" ca="1">IF($B35="","",IF(ISBLANK(INDIRECT("R6.Voz!D"&amp;SUM(18,38*0,16))),"",INDIRECT("R6.Voz!D"&amp;SUM(18,38*0,16))))</f>
        <v>N/A</v>
      </c>
      <c r="I35" s="75" t="str" cm="1">
        <f t="array" aca="1" ref="I35" ca="1">IF($B35="","",IF(ISBLANK(INDIRECT("R6.Voz!D"&amp;SUM(18,38*1,16))),"",INDIRECT("R6.Voz!D"&amp;SUM(18,38*1,16))))</f>
        <v>N/A</v>
      </c>
      <c r="J35" s="75" t="str" cm="1">
        <f t="array" aca="1" ref="J35" ca="1">IF($B35="","",IF(ISBLANK(INDIRECT("R6.Voz!D"&amp;SUM(18,38*2,16))),"",INDIRECT("R6.Voz!D"&amp;SUM(18,38*2,16))))</f>
        <v>N/A</v>
      </c>
      <c r="K35" s="75" t="str" cm="1">
        <f t="array" aca="1" ref="K35" ca="1">IF($B35="","",IF(ISBLANK(INDIRECT("R6.Voz!D"&amp;SUM(18,38*3,16))),"",INDIRECT("R6.Voz!D"&amp;SUM(18,38*3,16))))</f>
        <v>N/A</v>
      </c>
      <c r="L35" s="75" t="str" cm="1">
        <f t="array" aca="1" ref="L35" ca="1">IF($B35="","",IF(ISBLANK(INDIRECT("R6.Voz!D"&amp;SUM(18,38*4,16))),"",INDIRECT("R6.Voz!D"&amp;SUM(18,38*4,16))))</f>
        <v>N/A</v>
      </c>
      <c r="M35" s="75" t="str" cm="1">
        <f t="array" aca="1" ref="M35" ca="1">IF($B35="","",IF(ISBLANK(INDIRECT("R6.Voz!D"&amp;SUM(18,38*5,16))),"",INDIRECT("R6.Voz!D"&amp;SUM(18,38*5,16))))</f>
        <v>N/A</v>
      </c>
      <c r="N35" s="75" t="str" cm="1">
        <f t="array" aca="1" ref="N35" ca="1">IF($B35="","",IF(ISBLANK(INDIRECT("R6.Voz!D"&amp;SUM(18,38*6,16))),"",INDIRECT("R6.Voz!D"&amp;SUM(18,38*6,16))))</f>
        <v>N/A</v>
      </c>
      <c r="O35" s="75" t="str" cm="1">
        <f t="array" aca="1" ref="O35" ca="1">IF($B35="","",IF(ISBLANK(INDIRECT("R6.Voz!D"&amp;SUM(18,38*7,16))),"",INDIRECT("R6.Voz!D"&amp;SUM(18,38*7,16))))</f>
        <v>N/A</v>
      </c>
      <c r="P35" s="75" t="str" cm="1">
        <f t="array" aca="1" ref="P35" ca="1">IF($B35="","",IF(ISBLANK(INDIRECT("R6.Voz!D"&amp;SUM(18,38*8,16))),"",INDIRECT("R6.Voz!D"&amp;SUM(18,38*8,16))))</f>
        <v>N/A</v>
      </c>
      <c r="Q35" s="75" t="str" cm="1">
        <f t="array" aca="1" ref="Q35" ca="1">IF($B35="","",IF(ISBLANK(INDIRECT("R6.Voz!D"&amp;SUM(18,38*9,16))),"",INDIRECT("R6.Voz!D"&amp;SUM(18,38*9,16))))</f>
        <v>N/A</v>
      </c>
      <c r="R35" s="75" t="str" cm="1">
        <f t="array" aca="1" ref="R35" ca="1">IF($B35="","",IF(ISBLANK(INDIRECT("R6.Voz!D"&amp;SUM(18,38*10,16))),"",INDIRECT("R6.Voz!D"&amp;SUM(18,38*10,16))))</f>
        <v>N/A</v>
      </c>
      <c r="S35" s="75" t="str" cm="1">
        <f t="array" aca="1" ref="S35" ca="1">IF($B35="","",IF(ISBLANK(INDIRECT("R6.Voz!D"&amp;SUM(18,38*11,16))),"",INDIRECT("R6.Voz!D"&amp;SUM(18,38*11,16))))</f>
        <v>N/A</v>
      </c>
      <c r="T35" s="75" t="str" cm="1">
        <f t="array" aca="1" ref="T35" ca="1">IF($B35="","",IF(ISBLANK(INDIRECT("R6.Voz!D"&amp;SUM(18,38*12,16))),"",INDIRECT("R6.Voz!D"&amp;SUM(18,38*12,16))))</f>
        <v>N/A</v>
      </c>
      <c r="U35" s="75" t="str" cm="1">
        <f t="array" aca="1" ref="U35" ca="1">IF($B35="","",IF(ISBLANK(INDIRECT("R6.Voz!D"&amp;SUM(18,38*13,16))),"",INDIRECT("R6.Voz!D"&amp;SUM(18,38*13,16))))</f>
        <v>N/A</v>
      </c>
      <c r="V35" s="75" t="str" cm="1">
        <f t="array" aca="1" ref="V35" ca="1">IF($B35="","",IF(ISBLANK(INDIRECT("R6.Voz!D"&amp;SUM(18,38*14,16))),"",INDIRECT("R6.Voz!D"&amp;SUM(18,38*14,16))))</f>
        <v>N/A</v>
      </c>
      <c r="W35" s="75" t="str" cm="1">
        <f t="array" aca="1" ref="W35" ca="1">IF($B35="","",IF(ISBLANK(INDIRECT("R6.Voz!D"&amp;SUM(18,38*15,16))),"",INDIRECT("R6.Voz!D"&amp;SUM(18,38*15,16))))</f>
        <v>N/A</v>
      </c>
      <c r="X35" s="75" t="str" cm="1">
        <f t="array" aca="1" ref="X35" ca="1">IF($B35="","",IF(ISBLANK(INDIRECT("R6.Voz!D"&amp;SUM(18,38*16,16))),"",INDIRECT("R6.Voz!D"&amp;SUM(18,38*16,16))))</f>
        <v>N/A</v>
      </c>
      <c r="Y35" s="75" t="str" cm="1">
        <f t="array" aca="1" ref="Y35" ca="1">IF($B35="","",IF(ISBLANK(INDIRECT("R6.Voz!D"&amp;SUM(18,38*17,16))),"",INDIRECT("R6.Voz!D"&amp;SUM(18,38*17,16))))</f>
        <v>N/A</v>
      </c>
      <c r="Z35" s="75" t="str" cm="1">
        <f t="array" aca="1" ref="Z35" ca="1">IF($B35="","",IF(ISBLANK(INDIRECT("R6.Voz!D"&amp;SUM(18,38*18,16))),"",INDIRECT("R6.Voz!D"&amp;SUM(18,38*18,16))))</f>
        <v>N/A</v>
      </c>
      <c r="AA35" s="75" t="str" cm="1">
        <f t="array" aca="1" ref="AA35" ca="1">IF($B35="","",IF(ISBLANK(INDIRECT("R7.Video!D"&amp;SUM(18,38*0,16))),"",INDIRECT("R7.Video!D"&amp;SUM(18,38*0,16))))</f>
        <v>N/A</v>
      </c>
      <c r="AB35" s="75" t="str" cm="1">
        <f t="array" aca="1" ref="AB35" ca="1">IF($B35="","",IF(ISBLANK(INDIRECT("R7.Video!D"&amp;SUM(18,38*1,16))),"",INDIRECT("R7.Video!D"&amp;SUM(18,38*1,16))))</f>
        <v>N/A</v>
      </c>
      <c r="AC35" s="75" t="str" cm="1">
        <f t="array" aca="1" ref="AC35" ca="1">IF($B35="","",IF(ISBLANK(INDIRECT("R7.Video!D"&amp;SUM(18,38*2,16))),"",INDIRECT("R7.Video!D"&amp;SUM(18,38*2,16))))</f>
        <v>N/A</v>
      </c>
      <c r="AD35" s="75" t="str" cm="1">
        <f t="array" aca="1" ref="AD35" ca="1">IF($B35="","",IF(ISBLANK(INDIRECT("R7.Video!D"&amp;SUM(18,38*3,16))),"",INDIRECT("R7.Video!D"&amp;SUM(18,38*3,16))))</f>
        <v>N/A</v>
      </c>
      <c r="AE35" s="75" t="str" cm="1">
        <f t="array" aca="1" ref="AE35" ca="1">IF($B35="","",IF(ISBLANK(INDIRECT("R7.Video!D"&amp;SUM(18,38*4,16))),"",INDIRECT("R7.Video!D"&amp;SUM(18,38*4,16))))</f>
        <v>N/A</v>
      </c>
      <c r="AF35" s="75" t="str" cm="1">
        <f t="array" aca="1" ref="AF35" ca="1">IF($B35="","",IF(ISBLANK(INDIRECT("R7.Video!D"&amp;SUM(18,38*5,16))),"",INDIRECT("R7.Video!D"&amp;SUM(18,38*5,16))))</f>
        <v>N/A</v>
      </c>
      <c r="AG35" s="75" t="str" cm="1">
        <f t="array" aca="1" ref="AG35" ca="1">IF($B35="","",IF(ISBLANK(INDIRECT("R7.Video!D"&amp;SUM(18,38*6,16))),"",INDIRECT("R7.Video!D"&amp;SUM(18,38*6,16))))</f>
        <v>N/A</v>
      </c>
      <c r="AH35" s="75" t="str" cm="1">
        <f t="array" aca="1" ref="AH35" ca="1">IF($B35="","",IF(ISBLANK(INDIRECT("R7.Video!D"&amp;SUM(18,38*7,16))),"",INDIRECT("R7.Video!D"&amp;SUM(18,38*7,16))))</f>
        <v>N/A</v>
      </c>
      <c r="AI35" s="75" t="str" cm="1">
        <f t="array" aca="1" ref="AI35" ca="1">IF($B35="","",IF(ISBLANK(INDIRECT("R7.Video!D"&amp;SUM(18,38*8,16))),"",INDIRECT("R7.Video!D"&amp;SUM(18,38*8,16))))</f>
        <v>N/A</v>
      </c>
      <c r="AJ35" s="75" t="str" cm="1">
        <f t="array" aca="1" ref="AJ35" ca="1">IF($B35="","",IF(ISBLANK(INDIRECT("R9.Web!D"&amp;SUM(18,38*0,16))),"",INDIRECT("R9.Web!D"&amp;SUM(18,38*0,16))))</f>
        <v>Pasa</v>
      </c>
      <c r="AK35" s="75" t="str" cm="1">
        <f t="array" aca="1" ref="AK35" ca="1">IF($B35="","",IF(ISBLANK(INDIRECT("R9.Web!D"&amp;SUM(18,38*1,16))),"",INDIRECT("R9.Web!D"&amp;SUM(18,38*1,16))))</f>
        <v>N/A</v>
      </c>
      <c r="AL35" s="75" t="str" cm="1">
        <f t="array" aca="1" ref="AL35" ca="1">IF($B35="","",IF(ISBLANK(INDIRECT("R9.Web!D"&amp;SUM(18,38*2,16))),"",INDIRECT("R9.Web!D"&amp;SUM(18,38*2,16))))</f>
        <v>N/A</v>
      </c>
      <c r="AM35" s="75" t="str" cm="1">
        <f t="array" aca="1" ref="AM35" ca="1">IF($B35="","",IF(ISBLANK(INDIRECT("R9.Web!D"&amp;SUM(18,38*3,16))),"",INDIRECT("R9.Web!D"&amp;SUM(18,38*3,16))))</f>
        <v>N/A</v>
      </c>
      <c r="AN35" s="75" t="str" cm="1">
        <f t="array" aca="1" ref="AN35" ca="1">IF($B35="","",IF(ISBLANK(INDIRECT("R9.Web!D"&amp;SUM(18,38*4,16))),"",INDIRECT("R9.Web!D"&amp;SUM(18,38*4,16))))</f>
        <v>N/A</v>
      </c>
      <c r="AO35" s="75" t="str" cm="1">
        <f t="array" aca="1" ref="AO35" ca="1">IF($B35="","",IF(ISBLANK(INDIRECT("R9.Web!D"&amp;SUM(18,38*5,16))),"",INDIRECT("R9.Web!D"&amp;SUM(18,38*5,16))))</f>
        <v>Falla</v>
      </c>
      <c r="AP35" s="75" t="str" cm="1">
        <f t="array" aca="1" ref="AP35" ca="1">IF($B35="","",IF(ISBLANK(INDIRECT("R9.Web!D"&amp;SUM(18,38*6,16))),"",INDIRECT("R9.Web!D"&amp;SUM(18,38*6,16))))</f>
        <v>Falla</v>
      </c>
      <c r="AQ35" s="75" t="str" cm="1">
        <f t="array" aca="1" ref="AQ35" ca="1">IF($B35="","",IF(ISBLANK(INDIRECT("R9.Web!D"&amp;SUM(18,38*7,16))),"",INDIRECT("R9.Web!D"&amp;SUM(18,38*7,16))))</f>
        <v>Falla</v>
      </c>
      <c r="AR35" s="75" t="str" cm="1">
        <f t="array" aca="1" ref="AR35" ca="1">IF($B35="","",IF(ISBLANK(INDIRECT("R9.Web!D"&amp;SUM(18,38*8,16))),"",INDIRECT("R9.Web!D"&amp;SUM(18,38*8,16))))</f>
        <v>Falla</v>
      </c>
      <c r="AS35" s="75" t="str" cm="1">
        <f t="array" aca="1" ref="AS35" ca="1">IF($B35="","",IF(ISBLANK(INDIRECT("R9.Web!D"&amp;SUM(18,38*9,16))),"",INDIRECT("R9.Web!D"&amp;SUM(18,38*9,16))))</f>
        <v>Falla</v>
      </c>
      <c r="AT35" s="75" t="str" cm="1">
        <f t="array" aca="1" ref="AT35" ca="1">IF($B35="","",IF(ISBLANK(INDIRECT("R9.Web!D"&amp;SUM(18,38*10,16))),"",INDIRECT("R9.Web!D"&amp;SUM(18,38*10,16))))</f>
        <v>Falla</v>
      </c>
      <c r="AU35" s="75" t="str" cm="1">
        <f t="array" aca="1" ref="AU35" ca="1">IF($B35="","",IF(ISBLANK(INDIRECT("R9.Web!D"&amp;SUM(18,38*11,16))),"",INDIRECT("R9.Web!D"&amp;SUM(18,38*11,16))))</f>
        <v>N/A</v>
      </c>
      <c r="AV35" s="75" t="str" cm="1">
        <f t="array" aca="1" ref="AV35" ca="1">IF($B35="","",IF(ISBLANK(INDIRECT("R9.Web!D"&amp;SUM(18,38*12,16))),"",INDIRECT("R9.Web!D"&amp;SUM(18,38*12,16))))</f>
        <v>Pasa</v>
      </c>
      <c r="AW35" s="75" t="str" cm="1">
        <f t="array" aca="1" ref="AW35" ca="1">IF($B35="","",IF(ISBLANK(INDIRECT("R9.Web!D"&amp;SUM(18,38*13,16))),"",INDIRECT("R9.Web!D"&amp;SUM(18,38*13,16))))</f>
        <v>Falla</v>
      </c>
      <c r="AX35" s="75" t="str" cm="1">
        <f t="array" aca="1" ref="AX35" ca="1">IF($B35="","",IF(ISBLANK(INDIRECT("R9.Web!D"&amp;SUM(18,38*14,16))),"",INDIRECT("R9.Web!D"&amp;SUM(18,38*14,16))))</f>
        <v>N/A</v>
      </c>
      <c r="AY35" s="75" t="str" cm="1">
        <f t="array" aca="1" ref="AY35" ca="1">IF($B35="","",IF(ISBLANK(INDIRECT("R9.Web!D"&amp;SUM(18,38*15,16))),"",INDIRECT("R9.Web!D"&amp;SUM(18,38*15,16))))</f>
        <v>Falla</v>
      </c>
      <c r="AZ35" s="75" t="str" cm="1">
        <f t="array" aca="1" ref="AZ35" ca="1">IF($B35="","",IF(ISBLANK(INDIRECT("R9.Web!D"&amp;SUM(18,38*16,16))),"",INDIRECT("R9.Web!D"&amp;SUM(18,38*16,16))))</f>
        <v>Falla</v>
      </c>
      <c r="BA35" s="75" t="str" cm="1">
        <f t="array" aca="1" ref="BA35" ca="1">IF($B35="","",IF(ISBLANK(INDIRECT("R9.Web!D"&amp;SUM(18,38*17,16))),"",INDIRECT("R9.Web!D"&amp;SUM(18,38*17,16))))</f>
        <v>Pasa</v>
      </c>
      <c r="BB35" s="75" t="str" cm="1">
        <f t="array" aca="1" ref="BB35" ca="1">IF($B35="","",IF(ISBLANK(INDIRECT("R9.Web!D"&amp;SUM(18,38*18,16))),"",INDIRECT("R9.Web!D"&amp;SUM(18,38*18,16))))</f>
        <v>Falla</v>
      </c>
      <c r="BC35" s="75" t="str" cm="1">
        <f t="array" aca="1" ref="BC35" ca="1">IF($B35="","",IF(ISBLANK(INDIRECT("R9.Web!D"&amp;SUM(18,38*19,16))),"",INDIRECT("R9.Web!D"&amp;SUM(18,38*19,16))))</f>
        <v>Falla</v>
      </c>
      <c r="BD35" s="75" t="str" cm="1">
        <f t="array" aca="1" ref="BD35" ca="1">IF($B35="","",IF(ISBLANK(INDIRECT("R9.Web!D"&amp;SUM(18,38*20,16))),"",INDIRECT("R9.Web!D"&amp;SUM(18,38*20,16))))</f>
        <v>Pasa</v>
      </c>
      <c r="BE35" s="75" t="str" cm="1">
        <f t="array" aca="1" ref="BE35" ca="1">IF($B35="","",IF(ISBLANK(INDIRECT("R9.Web!D"&amp;SUM(18,38*21,16))),"",INDIRECT("R9.Web!D"&amp;SUM(18,38*21,16))))</f>
        <v>N/A</v>
      </c>
      <c r="BF35" s="75" t="str" cm="1">
        <f t="array" aca="1" ref="BF35" ca="1">IF($B35="","",IF(ISBLANK(INDIRECT("R9.Web!D"&amp;SUM(18,38*22,16))),"",INDIRECT("R9.Web!D"&amp;SUM(18,38*22,16))))</f>
        <v>Pasa</v>
      </c>
      <c r="BG35" s="75" t="str" cm="1">
        <f t="array" aca="1" ref="BG35" ca="1">IF($B35="","",IF(ISBLANK(INDIRECT("R9.Web!D"&amp;SUM(18,38*23,16))),"",INDIRECT("R9.Web!D"&amp;SUM(18,38*23,16))))</f>
        <v>N/A</v>
      </c>
      <c r="BH35" s="75" t="str" cm="1">
        <f t="array" aca="1" ref="BH35" ca="1">IF($B35="","",IF(ISBLANK(INDIRECT("R9.Web!D"&amp;SUM(18,38*24,16))),"",INDIRECT("R9.Web!D"&amp;SUM(18,38*24,16))))</f>
        <v>N/A</v>
      </c>
      <c r="BI35" s="75" t="str" cm="1">
        <f t="array" aca="1" ref="BI35" ca="1">IF($B35="","",IF(ISBLANK(INDIRECT("R9.Web!D"&amp;SUM(18,38*25,16))),"",INDIRECT("R9.Web!D"&amp;SUM(18,38*25,16))))</f>
        <v>Pasa</v>
      </c>
      <c r="BJ35" s="75" t="str" cm="1">
        <f t="array" aca="1" ref="BJ35" ca="1">IF($B35="","",IF(ISBLANK(INDIRECT("R9.Web!D"&amp;SUM(18,38*26,16))),"",INDIRECT("R9.Web!D"&amp;SUM(18,38*26,16))))</f>
        <v>Falla</v>
      </c>
      <c r="BK35" s="75" t="str" cm="1">
        <f t="array" aca="1" ref="BK35" ca="1">IF($B35="","",IF(ISBLANK(INDIRECT("R9.Web!D"&amp;SUM(18,38*27,16))),"",INDIRECT("R9.Web!D"&amp;SUM(18,38*27,16))))</f>
        <v>Falla</v>
      </c>
      <c r="BL35" s="75" t="str" cm="1">
        <f t="array" aca="1" ref="BL35" ca="1">IF($B35="","",IF(ISBLANK(INDIRECT("R9.Web!D"&amp;SUM(18,38*28,16))),"",INDIRECT("R9.Web!D"&amp;SUM(18,38*28,16))))</f>
        <v>Falla</v>
      </c>
      <c r="BM35" s="75" t="str" cm="1">
        <f t="array" aca="1" ref="BM35" ca="1">IF($B35="","",IF(ISBLANK(INDIRECT("R9.Web!D"&amp;SUM(18,38*29,16))),"",INDIRECT("R9.Web!D"&amp;SUM(18,38*29,16))))</f>
        <v>Pasa</v>
      </c>
      <c r="BN35" s="75" t="str" cm="1">
        <f t="array" aca="1" ref="BN35" ca="1">IF($B35="","",IF(ISBLANK(INDIRECT("R9.Web!D"&amp;SUM(18,38*30,16))),"",INDIRECT("R9.Web!D"&amp;SUM(18,38*30,16))))</f>
        <v>Falla</v>
      </c>
      <c r="BO35" s="75" t="str" cm="1">
        <f t="array" aca="1" ref="BO35" ca="1">IF($B35="","",IF(ISBLANK(INDIRECT("R9.Web!D"&amp;SUM(18,38*31,16))),"",INDIRECT("R9.Web!D"&amp;SUM(18,38*31,16))))</f>
        <v>Falla</v>
      </c>
      <c r="BP35" s="75" t="str" cm="1">
        <f t="array" aca="1" ref="BP35" ca="1">IF($B35="","",IF(ISBLANK(INDIRECT("R9.Web!D"&amp;SUM(18,38*32,16))),"",INDIRECT("R9.Web!D"&amp;SUM(18,38*32,16))))</f>
        <v>N/A</v>
      </c>
      <c r="BQ35" s="75" t="str" cm="1">
        <f t="array" aca="1" ref="BQ35" ca="1">IF($B35="","",IF(ISBLANK(INDIRECT("R9.Web!D"&amp;SUM(18,38*33,16))),"",INDIRECT("R9.Web!D"&amp;SUM(18,38*33,16))))</f>
        <v>Pasa</v>
      </c>
      <c r="BR35" s="75" t="str" cm="1">
        <f t="array" aca="1" ref="BR35" ca="1">IF($B35="","",IF(ISBLANK(INDIRECT("R9.Web!D"&amp;SUM(18,38*34,16))),"",INDIRECT("R9.Web!D"&amp;SUM(18,38*34,16))))</f>
        <v>Falla</v>
      </c>
      <c r="BS35" s="75" t="str" cm="1">
        <f t="array" aca="1" ref="BS35" ca="1">IF($B35="","",IF(ISBLANK(INDIRECT("R9.Web!D"&amp;SUM(18,38*35,16))),"",INDIRECT("R9.Web!D"&amp;SUM(18,38*35,16))))</f>
        <v>N/A</v>
      </c>
      <c r="BT35" s="75" t="str" cm="1">
        <f t="array" aca="1" ref="BT35" ca="1">IF($B35="","",IF(ISBLANK(INDIRECT("R9.Web!D"&amp;SUM(18,38*36,16))),"",INDIRECT("R9.Web!D"&amp;SUM(18,38*36,16))))</f>
        <v>Pasa</v>
      </c>
      <c r="BU35" s="75" t="str" cm="1">
        <f t="array" aca="1" ref="BU35" ca="1">IF($B35="","",IF(ISBLANK(INDIRECT("R9.Web!D"&amp;SUM(18,38*37,16))),"",INDIRECT("R9.Web!D"&amp;SUM(18,38*37,16))))</f>
        <v>N/A</v>
      </c>
      <c r="BV35" s="75" t="str" cm="1">
        <f t="array" aca="1" ref="BV35" ca="1">IF($B35="","",IF(ISBLANK(INDIRECT("R9.Web!D"&amp;SUM(18,38*38,16))),"",INDIRECT("R9.Web!D"&amp;SUM(18,38*38,16))))</f>
        <v>Pasa</v>
      </c>
      <c r="BW35" s="75" t="str" cm="1">
        <f t="array" aca="1" ref="BW35" ca="1">IF($B35="","",IF(ISBLANK(INDIRECT("R9.Web!D"&amp;SUM(18,38*39,16))),"",INDIRECT("R9.Web!D"&amp;SUM(18,38*39,16))))</f>
        <v>Pasa</v>
      </c>
      <c r="BX35" s="75" t="str" cm="1">
        <f t="array" aca="1" ref="BX35" ca="1">IF($B35="","",IF(ISBLANK(INDIRECT("R9.Web!D"&amp;SUM(18,38*40,16))),"",INDIRECT("R9.Web!D"&amp;SUM(18,38*40,16))))</f>
        <v>Falla</v>
      </c>
      <c r="BY35" s="75" t="str" cm="1">
        <f t="array" aca="1" ref="BY35" ca="1">IF($B35="","",IF(ISBLANK(INDIRECT("R9.Web!D"&amp;SUM(18,38*41,16))),"",INDIRECT("R9.Web!D"&amp;SUM(18,38*41,16))))</f>
        <v>Pasa</v>
      </c>
      <c r="BZ35" s="75" t="str" cm="1">
        <f t="array" aca="1" ref="BZ35" ca="1">IF($B35="","",IF(ISBLANK(INDIRECT("R9.Web!D"&amp;SUM(18,38*42,16))),"",INDIRECT("R9.Web!D"&amp;SUM(18,38*42,16))))</f>
        <v>Pasa</v>
      </c>
      <c r="CA35" s="75" t="str" cm="1">
        <f t="array" aca="1" ref="CA35" ca="1">IF($B35="","",IF(ISBLANK(INDIRECT("R9.Web!D"&amp;SUM(18,38*43,16))),"",INDIRECT("R9.Web!D"&amp;SUM(18,38*43,16))))</f>
        <v>Falla</v>
      </c>
      <c r="CB35" s="75" t="str" cm="1">
        <f t="array" aca="1" ref="CB35" ca="1">IF($B35="","",IF(ISBLANK(INDIRECT("R9.Web!D"&amp;SUM(18,38*44,16))),"",INDIRECT("R9.Web!D"&amp;SUM(18,38*44,16))))</f>
        <v>Pasa</v>
      </c>
      <c r="CC35" s="75" t="str" cm="1">
        <f t="array" aca="1" ref="CC35" ca="1">IF($B35="","",IF(ISBLANK(INDIRECT("R9.Web!D"&amp;SUM(18,38*45,16))),"",INDIRECT("R9.Web!D"&amp;SUM(18,38*45,16))))</f>
        <v>N/A</v>
      </c>
      <c r="CD35" s="75" t="str" cm="1">
        <f t="array" aca="1" ref="CD35" ca="1">IF($B35="","",IF(ISBLANK(INDIRECT("R9.Web!D"&amp;SUM(18,38*46,16))),"",INDIRECT("R9.Web!D"&amp;SUM(18,38*46,16))))</f>
        <v>N/A</v>
      </c>
      <c r="CE35" s="75" t="str" cm="1">
        <f t="array" aca="1" ref="CE35" ca="1">IF($B35="","",IF(ISBLANK(INDIRECT("R9.Web!D"&amp;SUM(18,38*47,16))),"",INDIRECT("R9.Web!D"&amp;SUM(18,38*47,16))))</f>
        <v>Pasa</v>
      </c>
      <c r="CF35" s="75" t="str" cm="1">
        <f t="array" aca="1" ref="CF35" ca="1">IF($B35="","",IF(ISBLANK(INDIRECT("R9.Web!D"&amp;SUM(18,38*48,16))),"",INDIRECT("R9.Web!D"&amp;SUM(18,38*48,16))))</f>
        <v>N/A</v>
      </c>
      <c r="CG35" s="75" t="str" cm="1">
        <f t="array" aca="1" ref="CG35" ca="1">IF($B35="","",IF(ISBLANK(INDIRECT("R9.Web!D"&amp;SUM(18,38*49,16))),"",INDIRECT("R9.Web!D"&amp;SUM(18,38*49,16))))</f>
        <v>Falla</v>
      </c>
      <c r="CH35" s="75" t="str" cm="1">
        <f t="array" aca="1" ref="CH35" ca="1">IF($B35="","",IF(ISBLANK(INDIRECT("R11.Software!D"&amp;SUM(18,38*0,16))),"",INDIRECT("R11.Software!D"&amp;SUM(18,38*0,16))))</f>
        <v>Falla</v>
      </c>
      <c r="CI35" s="75" t="str" cm="1">
        <f t="array" aca="1" ref="CI35" ca="1">IF($B35="","",IF(ISBLANK(INDIRECT("R11.Software!D"&amp;SUM(18,38*1,16))),"",INDIRECT("R11.Software!D"&amp;SUM(18,38*1,16))))</f>
        <v>N/A</v>
      </c>
      <c r="CJ35" s="75" t="str" cm="1">
        <f t="array" aca="1" ref="CJ35" ca="1">IF($B35="","",IF(ISBLANK(INDIRECT("R11.Software!D"&amp;SUM(18,38*2,16))),"",INDIRECT("R11.Software!D"&amp;SUM(18,38*2,16))))</f>
        <v>N/A</v>
      </c>
      <c r="CK35" s="75" t="str" cm="1">
        <f t="array" aca="1" ref="CK35" ca="1">IF($B35="","",IF(ISBLANK(INDIRECT("R11.Software!D"&amp;SUM(18,38*3,16))),"",INDIRECT("R11.Software!D"&amp;SUM(18,38*3,16))))</f>
        <v>N/A</v>
      </c>
      <c r="CL35" s="75" t="str" cm="1">
        <f t="array" aca="1" ref="CL35" ca="1">IF($B35="","",IF(ISBLANK(INDIRECT("R11.Software!D"&amp;SUM(18,38*4,16))),"",INDIRECT("R11.Software!D"&amp;SUM(18,38*4,16))))</f>
        <v>N/A</v>
      </c>
      <c r="CM35" s="75" t="str" cm="1">
        <f t="array" aca="1" ref="CM35" ca="1">IF($B35="","",IF(ISBLANK(INDIRECT("R11.Software!D"&amp;SUM(18,38*5,16))),"",INDIRECT("R11.Software!D"&amp;SUM(18,38*5,16))))</f>
        <v>N/A</v>
      </c>
      <c r="CN35" s="75" t="str" cm="1">
        <f t="array" aca="1" ref="CN35" ca="1">IF($B35="","",IF(ISBLANK(INDIRECT("R12.ServiciosApoyo!D"&amp;SUM(18,38*0,16))),"",INDIRECT("R12.ServiciosApoyo!D"&amp;SUM(18,38*0,16))))</f>
        <v>N/A</v>
      </c>
      <c r="CO35" s="75" t="str" cm="1">
        <f t="array" aca="1" ref="CO35" ca="1">IF($B35="","",IF(ISBLANK(INDIRECT("R12.ServiciosApoyo!D"&amp;SUM(18,38*1,16))),"",INDIRECT("R12.ServiciosApoyo!D"&amp;SUM(18,38*1,16))))</f>
        <v>N/A</v>
      </c>
      <c r="CP35" s="75" t="str" cm="1">
        <f t="array" aca="1" ref="CP35" ca="1">IF($B35="","",IF(ISBLANK(INDIRECT("R12.ServiciosApoyo!D"&amp;SUM(18,38*2,16))),"",INDIRECT("R12.ServiciosApoyo!D"&amp;SUM(18,38*2,16))))</f>
        <v>N/A</v>
      </c>
      <c r="CQ35" s="75" t="str" cm="1">
        <f t="array" aca="1" ref="CQ35" ca="1">IF($B35="","",IF(ISBLANK(INDIRECT("R12.ServiciosApoyo!D"&amp;SUM(18,38*3,16))),"",INDIRECT("R12.ServiciosApoyo!D"&amp;SUM(18,38*3,16))))</f>
        <v>N/A</v>
      </c>
      <c r="CR35" s="75" t="str" cm="1">
        <f t="array" aca="1" ref="CR35" ca="1">IF($B35="","",IF(ISBLANK(INDIRECT("R12.ServiciosApoyo!D"&amp;SUM(18,38*4,16))),"",INDIRECT("R12.ServiciosApoyo!D"&amp;SUM(18,38*4,16))))</f>
        <v>N/A</v>
      </c>
      <c r="CU35" s="76"/>
    </row>
    <row r="36" spans="2:99" ht="20.5">
      <c r="B36" s="39" cm="1">
        <f t="array" ref="B36">IFERROR(INDEX('03.Muestra'!$B$8:$B$42,SMALL(IF("Página Web"='03.Muestra'!$D$8:$D$42,ROW('03.Muestra'!$B$8:$B$42)-MIN(ROW('03.Muestra'!$D$8:$D$42))+1,""),ROW()-19)),"")</f>
        <v>17</v>
      </c>
      <c r="C36" s="73" t="str" cm="1">
        <f t="array" ref="C36">IFERROR(INDEX('03.Muestra'!$C$8:$C$42,SMALL(IF("Página Web"='03.Muestra'!$D$8:$D$42,ROW('03.Muestra'!$C$8:$C$42)-MIN(ROW('03.Muestra'!$D$8:$D$42))+1,""),ROW()-19)),"")</f>
        <v>Buscador</v>
      </c>
      <c r="D36" s="74" t="str" cm="1">
        <f t="array" ref="D36">IFERROR(INDEX('03.Muestra'!$F$8:$F$42,SMALL(IF("Página Web"='03.Muestra'!$D$8:$D$42,ROW('03.Muestra'!$F$8:$F$42)-MIN(ROW('03.Muestra'!$D$8:$D$42))+1,""),ROW()-19)),"")</f>
        <v>https://elecciones.comunidad.madrid/es/search?search_api_fulltext=partido</v>
      </c>
      <c r="E36" s="75" t="str" cm="1">
        <f t="array" aca="1" ref="E36" ca="1">IF($B36="","",IF(ISBLANK(INDIRECT("R5.Genéricos!D"&amp;SUM(18,38*0,17))),"",INDIRECT("R5.Genéricos!D"&amp;SUM(18,38*0,17))))</f>
        <v>N/A</v>
      </c>
      <c r="F36" s="75" t="str" cm="1">
        <f t="array" aca="1" ref="F36" ca="1">IF($B36="","",IF(ISBLANK(INDIRECT("R5.Genéricos!D"&amp;SUM(18,38*1,17))),"",INDIRECT("R5.Genéricos!D"&amp;SUM(18,38*1,17))))</f>
        <v>N/A</v>
      </c>
      <c r="G36" s="75" t="str" cm="1">
        <f t="array" aca="1" ref="G36" ca="1">IF($B36="","",IF(ISBLANK(INDIRECT("R5.Genéricos!D"&amp;SUM(18,38*2,17))),"",INDIRECT("R5.Genéricos!D"&amp;SUM(18,38*2,17))))</f>
        <v>N/A</v>
      </c>
      <c r="H36" s="75" t="str" cm="1">
        <f t="array" aca="1" ref="H36" ca="1">IF($B36="","",IF(ISBLANK(INDIRECT("R6.Voz!D"&amp;SUM(18,38*0,17))),"",INDIRECT("R6.Voz!D"&amp;SUM(18,38*0,17))))</f>
        <v>N/A</v>
      </c>
      <c r="I36" s="75" t="str" cm="1">
        <f t="array" aca="1" ref="I36" ca="1">IF($B36="","",IF(ISBLANK(INDIRECT("R6.Voz!D"&amp;SUM(18,38*1,17))),"",INDIRECT("R6.Voz!D"&amp;SUM(18,38*1,17))))</f>
        <v>N/A</v>
      </c>
      <c r="J36" s="75" t="str" cm="1">
        <f t="array" aca="1" ref="J36" ca="1">IF($B36="","",IF(ISBLANK(INDIRECT("R6.Voz!D"&amp;SUM(18,38*2,17))),"",INDIRECT("R6.Voz!D"&amp;SUM(18,38*2,17))))</f>
        <v>N/A</v>
      </c>
      <c r="K36" s="75" t="str" cm="1">
        <f t="array" aca="1" ref="K36" ca="1">IF($B36="","",IF(ISBLANK(INDIRECT("R6.Voz!D"&amp;SUM(18,38*3,17))),"",INDIRECT("R6.Voz!D"&amp;SUM(18,38*3,17))))</f>
        <v>N/A</v>
      </c>
      <c r="L36" s="75" t="str" cm="1">
        <f t="array" aca="1" ref="L36" ca="1">IF($B36="","",IF(ISBLANK(INDIRECT("R6.Voz!D"&amp;SUM(18,38*4,17))),"",INDIRECT("R6.Voz!D"&amp;SUM(18,38*4,17))))</f>
        <v>N/A</v>
      </c>
      <c r="M36" s="75" t="str" cm="1">
        <f t="array" aca="1" ref="M36" ca="1">IF($B36="","",IF(ISBLANK(INDIRECT("R6.Voz!D"&amp;SUM(18,38*5,17))),"",INDIRECT("R6.Voz!D"&amp;SUM(18,38*5,17))))</f>
        <v>N/A</v>
      </c>
      <c r="N36" s="75" t="str" cm="1">
        <f t="array" aca="1" ref="N36" ca="1">IF($B36="","",IF(ISBLANK(INDIRECT("R6.Voz!D"&amp;SUM(18,38*6,17))),"",INDIRECT("R6.Voz!D"&amp;SUM(18,38*6,17))))</f>
        <v>N/A</v>
      </c>
      <c r="O36" s="75" t="str" cm="1">
        <f t="array" aca="1" ref="O36" ca="1">IF($B36="","",IF(ISBLANK(INDIRECT("R6.Voz!D"&amp;SUM(18,38*7,17))),"",INDIRECT("R6.Voz!D"&amp;SUM(18,38*7,17))))</f>
        <v>N/A</v>
      </c>
      <c r="P36" s="75" t="str" cm="1">
        <f t="array" aca="1" ref="P36" ca="1">IF($B36="","",IF(ISBLANK(INDIRECT("R6.Voz!D"&amp;SUM(18,38*8,17))),"",INDIRECT("R6.Voz!D"&amp;SUM(18,38*8,17))))</f>
        <v>N/A</v>
      </c>
      <c r="Q36" s="75" t="str" cm="1">
        <f t="array" aca="1" ref="Q36" ca="1">IF($B36="","",IF(ISBLANK(INDIRECT("R6.Voz!D"&amp;SUM(18,38*9,17))),"",INDIRECT("R6.Voz!D"&amp;SUM(18,38*9,17))))</f>
        <v>N/A</v>
      </c>
      <c r="R36" s="75" t="str" cm="1">
        <f t="array" aca="1" ref="R36" ca="1">IF($B36="","",IF(ISBLANK(INDIRECT("R6.Voz!D"&amp;SUM(18,38*10,17))),"",INDIRECT("R6.Voz!D"&amp;SUM(18,38*10,17))))</f>
        <v>N/A</v>
      </c>
      <c r="S36" s="75" t="str" cm="1">
        <f t="array" aca="1" ref="S36" ca="1">IF($B36="","",IF(ISBLANK(INDIRECT("R6.Voz!D"&amp;SUM(18,38*11,17))),"",INDIRECT("R6.Voz!D"&amp;SUM(18,38*11,17))))</f>
        <v>N/A</v>
      </c>
      <c r="T36" s="75" t="str" cm="1">
        <f t="array" aca="1" ref="T36" ca="1">IF($B36="","",IF(ISBLANK(INDIRECT("R6.Voz!D"&amp;SUM(18,38*12,17))),"",INDIRECT("R6.Voz!D"&amp;SUM(18,38*12,17))))</f>
        <v>N/A</v>
      </c>
      <c r="U36" s="75" t="str" cm="1">
        <f t="array" aca="1" ref="U36" ca="1">IF($B36="","",IF(ISBLANK(INDIRECT("R6.Voz!D"&amp;SUM(18,38*13,17))),"",INDIRECT("R6.Voz!D"&amp;SUM(18,38*13,17))))</f>
        <v>N/A</v>
      </c>
      <c r="V36" s="75" t="str" cm="1">
        <f t="array" aca="1" ref="V36" ca="1">IF($B36="","",IF(ISBLANK(INDIRECT("R6.Voz!D"&amp;SUM(18,38*14,17))),"",INDIRECT("R6.Voz!D"&amp;SUM(18,38*14,17))))</f>
        <v>N/A</v>
      </c>
      <c r="W36" s="75" t="str" cm="1">
        <f t="array" aca="1" ref="W36" ca="1">IF($B36="","",IF(ISBLANK(INDIRECT("R6.Voz!D"&amp;SUM(18,38*15,17))),"",INDIRECT("R6.Voz!D"&amp;SUM(18,38*15,17))))</f>
        <v>N/A</v>
      </c>
      <c r="X36" s="75" t="str" cm="1">
        <f t="array" aca="1" ref="X36" ca="1">IF($B36="","",IF(ISBLANK(INDIRECT("R6.Voz!D"&amp;SUM(18,38*16,17))),"",INDIRECT("R6.Voz!D"&amp;SUM(18,38*16,17))))</f>
        <v>N/A</v>
      </c>
      <c r="Y36" s="75" t="str" cm="1">
        <f t="array" aca="1" ref="Y36" ca="1">IF($B36="","",IF(ISBLANK(INDIRECT("R6.Voz!D"&amp;SUM(18,38*17,17))),"",INDIRECT("R6.Voz!D"&amp;SUM(18,38*17,17))))</f>
        <v>N/A</v>
      </c>
      <c r="Z36" s="75" t="str" cm="1">
        <f t="array" aca="1" ref="Z36" ca="1">IF($B36="","",IF(ISBLANK(INDIRECT("R6.Voz!D"&amp;SUM(18,38*18,17))),"",INDIRECT("R6.Voz!D"&amp;SUM(18,38*18,17))))</f>
        <v>N/A</v>
      </c>
      <c r="AA36" s="75" t="str" cm="1">
        <f t="array" aca="1" ref="AA36" ca="1">IF($B36="","",IF(ISBLANK(INDIRECT("R7.Video!D"&amp;SUM(18,38*0,17))),"",INDIRECT("R7.Video!D"&amp;SUM(18,38*0,17))))</f>
        <v>N/A</v>
      </c>
      <c r="AB36" s="75" t="str" cm="1">
        <f t="array" aca="1" ref="AB36" ca="1">IF($B36="","",IF(ISBLANK(INDIRECT("R7.Video!D"&amp;SUM(18,38*1,17))),"",INDIRECT("R7.Video!D"&amp;SUM(18,38*1,17))))</f>
        <v>N/A</v>
      </c>
      <c r="AC36" s="75" t="str" cm="1">
        <f t="array" aca="1" ref="AC36" ca="1">IF($B36="","",IF(ISBLANK(INDIRECT("R7.Video!D"&amp;SUM(18,38*2,17))),"",INDIRECT("R7.Video!D"&amp;SUM(18,38*2,17))))</f>
        <v>N/A</v>
      </c>
      <c r="AD36" s="75" t="str" cm="1">
        <f t="array" aca="1" ref="AD36" ca="1">IF($B36="","",IF(ISBLANK(INDIRECT("R7.Video!D"&amp;SUM(18,38*3,17))),"",INDIRECT("R7.Video!D"&amp;SUM(18,38*3,17))))</f>
        <v>N/A</v>
      </c>
      <c r="AE36" s="75" t="str" cm="1">
        <f t="array" aca="1" ref="AE36" ca="1">IF($B36="","",IF(ISBLANK(INDIRECT("R7.Video!D"&amp;SUM(18,38*4,17))),"",INDIRECT("R7.Video!D"&amp;SUM(18,38*4,17))))</f>
        <v>N/A</v>
      </c>
      <c r="AF36" s="75" t="str" cm="1">
        <f t="array" aca="1" ref="AF36" ca="1">IF($B36="","",IF(ISBLANK(INDIRECT("R7.Video!D"&amp;SUM(18,38*5,17))),"",INDIRECT("R7.Video!D"&amp;SUM(18,38*5,17))))</f>
        <v>N/A</v>
      </c>
      <c r="AG36" s="75" t="str" cm="1">
        <f t="array" aca="1" ref="AG36" ca="1">IF($B36="","",IF(ISBLANK(INDIRECT("R7.Video!D"&amp;SUM(18,38*6,17))),"",INDIRECT("R7.Video!D"&amp;SUM(18,38*6,17))))</f>
        <v>N/A</v>
      </c>
      <c r="AH36" s="75" t="str" cm="1">
        <f t="array" aca="1" ref="AH36" ca="1">IF($B36="","",IF(ISBLANK(INDIRECT("R7.Video!D"&amp;SUM(18,38*7,17))),"",INDIRECT("R7.Video!D"&amp;SUM(18,38*7,17))))</f>
        <v>N/A</v>
      </c>
      <c r="AI36" s="75" t="str" cm="1">
        <f t="array" aca="1" ref="AI36" ca="1">IF($B36="","",IF(ISBLANK(INDIRECT("R7.Video!D"&amp;SUM(18,38*8,17))),"",INDIRECT("R7.Video!D"&amp;SUM(18,38*8,17))))</f>
        <v>N/A</v>
      </c>
      <c r="AJ36" s="75" t="str" cm="1">
        <f t="array" aca="1" ref="AJ36" ca="1">IF($B36="","",IF(ISBLANK(INDIRECT("R9.Web!D"&amp;SUM(18,38*0,17))),"",INDIRECT("R9.Web!D"&amp;SUM(18,38*0,17))))</f>
        <v>Pasa</v>
      </c>
      <c r="AK36" s="75" t="str" cm="1">
        <f t="array" aca="1" ref="AK36" ca="1">IF($B36="","",IF(ISBLANK(INDIRECT("R9.Web!D"&amp;SUM(18,38*1,17))),"",INDIRECT("R9.Web!D"&amp;SUM(18,38*1,17))))</f>
        <v>N/A</v>
      </c>
      <c r="AL36" s="75" t="str" cm="1">
        <f t="array" aca="1" ref="AL36" ca="1">IF($B36="","",IF(ISBLANK(INDIRECT("R9.Web!D"&amp;SUM(18,38*2,17))),"",INDIRECT("R9.Web!D"&amp;SUM(18,38*2,17))))</f>
        <v>N/A</v>
      </c>
      <c r="AM36" s="75" t="str" cm="1">
        <f t="array" aca="1" ref="AM36" ca="1">IF($B36="","",IF(ISBLANK(INDIRECT("R9.Web!D"&amp;SUM(18,38*3,17))),"",INDIRECT("R9.Web!D"&amp;SUM(18,38*3,17))))</f>
        <v>N/A</v>
      </c>
      <c r="AN36" s="75" t="str" cm="1">
        <f t="array" aca="1" ref="AN36" ca="1">IF($B36="","",IF(ISBLANK(INDIRECT("R9.Web!D"&amp;SUM(18,38*4,17))),"",INDIRECT("R9.Web!D"&amp;SUM(18,38*4,17))))</f>
        <v>N/A</v>
      </c>
      <c r="AO36" s="75" t="str" cm="1">
        <f t="array" aca="1" ref="AO36" ca="1">IF($B36="","",IF(ISBLANK(INDIRECT("R9.Web!D"&amp;SUM(18,38*5,17))),"",INDIRECT("R9.Web!D"&amp;SUM(18,38*5,17))))</f>
        <v>Falla</v>
      </c>
      <c r="AP36" s="75" t="str" cm="1">
        <f t="array" aca="1" ref="AP36" ca="1">IF($B36="","",IF(ISBLANK(INDIRECT("R9.Web!D"&amp;SUM(18,38*6,17))),"",INDIRECT("R9.Web!D"&amp;SUM(18,38*6,17))))</f>
        <v>Falla</v>
      </c>
      <c r="AQ36" s="75" t="str" cm="1">
        <f t="array" aca="1" ref="AQ36" ca="1">IF($B36="","",IF(ISBLANK(INDIRECT("R9.Web!D"&amp;SUM(18,38*7,17))),"",INDIRECT("R9.Web!D"&amp;SUM(18,38*7,17))))</f>
        <v>Falla</v>
      </c>
      <c r="AR36" s="75" t="str" cm="1">
        <f t="array" aca="1" ref="AR36" ca="1">IF($B36="","",IF(ISBLANK(INDIRECT("R9.Web!D"&amp;SUM(18,38*8,17))),"",INDIRECT("R9.Web!D"&amp;SUM(18,38*8,17))))</f>
        <v>Falla</v>
      </c>
      <c r="AS36" s="75" t="str" cm="1">
        <f t="array" aca="1" ref="AS36" ca="1">IF($B36="","",IF(ISBLANK(INDIRECT("R9.Web!D"&amp;SUM(18,38*9,17))),"",INDIRECT("R9.Web!D"&amp;SUM(18,38*9,17))))</f>
        <v>N/A</v>
      </c>
      <c r="AT36" s="75" t="str" cm="1">
        <f t="array" aca="1" ref="AT36" ca="1">IF($B36="","",IF(ISBLANK(INDIRECT("R9.Web!D"&amp;SUM(18,38*10,17))),"",INDIRECT("R9.Web!D"&amp;SUM(18,38*10,17))))</f>
        <v>Pasa</v>
      </c>
      <c r="AU36" s="75" t="str" cm="1">
        <f t="array" aca="1" ref="AU36" ca="1">IF($B36="","",IF(ISBLANK(INDIRECT("R9.Web!D"&amp;SUM(18,38*11,17))),"",INDIRECT("R9.Web!D"&amp;SUM(18,38*11,17))))</f>
        <v>N/A</v>
      </c>
      <c r="AV36" s="75" t="str" cm="1">
        <f t="array" aca="1" ref="AV36" ca="1">IF($B36="","",IF(ISBLANK(INDIRECT("R9.Web!D"&amp;SUM(18,38*12,17))),"",INDIRECT("R9.Web!D"&amp;SUM(18,38*12,17))))</f>
        <v>Pasa</v>
      </c>
      <c r="AW36" s="75" t="str" cm="1">
        <f t="array" aca="1" ref="AW36" ca="1">IF($B36="","",IF(ISBLANK(INDIRECT("R9.Web!D"&amp;SUM(18,38*13,17))),"",INDIRECT("R9.Web!D"&amp;SUM(18,38*13,17))))</f>
        <v>Falla</v>
      </c>
      <c r="AX36" s="75" t="str" cm="1">
        <f t="array" aca="1" ref="AX36" ca="1">IF($B36="","",IF(ISBLANK(INDIRECT("R9.Web!D"&amp;SUM(18,38*14,17))),"",INDIRECT("R9.Web!D"&amp;SUM(18,38*14,17))))</f>
        <v>N/A</v>
      </c>
      <c r="AY36" s="75" t="str" cm="1">
        <f t="array" aca="1" ref="AY36" ca="1">IF($B36="","",IF(ISBLANK(INDIRECT("R9.Web!D"&amp;SUM(18,38*15,17))),"",INDIRECT("R9.Web!D"&amp;SUM(18,38*15,17))))</f>
        <v>Falla</v>
      </c>
      <c r="AZ36" s="75" t="str" cm="1">
        <f t="array" aca="1" ref="AZ36" ca="1">IF($B36="","",IF(ISBLANK(INDIRECT("R9.Web!D"&amp;SUM(18,38*16,17))),"",INDIRECT("R9.Web!D"&amp;SUM(18,38*16,17))))</f>
        <v>Falla</v>
      </c>
      <c r="BA36" s="75" t="str" cm="1">
        <f t="array" aca="1" ref="BA36" ca="1">IF($B36="","",IF(ISBLANK(INDIRECT("R9.Web!D"&amp;SUM(18,38*17,17))),"",INDIRECT("R9.Web!D"&amp;SUM(18,38*17,17))))</f>
        <v>Pasa</v>
      </c>
      <c r="BB36" s="75" t="str" cm="1">
        <f t="array" aca="1" ref="BB36" ca="1">IF($B36="","",IF(ISBLANK(INDIRECT("R9.Web!D"&amp;SUM(18,38*18,17))),"",INDIRECT("R9.Web!D"&amp;SUM(18,38*18,17))))</f>
        <v>Falla</v>
      </c>
      <c r="BC36" s="75" t="str" cm="1">
        <f t="array" aca="1" ref="BC36" ca="1">IF($B36="","",IF(ISBLANK(INDIRECT("R9.Web!D"&amp;SUM(18,38*19,17))),"",INDIRECT("R9.Web!D"&amp;SUM(18,38*19,17))))</f>
        <v>Falla</v>
      </c>
      <c r="BD36" s="75" t="str" cm="1">
        <f t="array" aca="1" ref="BD36" ca="1">IF($B36="","",IF(ISBLANK(INDIRECT("R9.Web!D"&amp;SUM(18,38*20,17))),"",INDIRECT("R9.Web!D"&amp;SUM(18,38*20,17))))</f>
        <v>Pasa</v>
      </c>
      <c r="BE36" s="75" t="str" cm="1">
        <f t="array" aca="1" ref="BE36" ca="1">IF($B36="","",IF(ISBLANK(INDIRECT("R9.Web!D"&amp;SUM(18,38*21,17))),"",INDIRECT("R9.Web!D"&amp;SUM(18,38*21,17))))</f>
        <v>N/A</v>
      </c>
      <c r="BF36" s="75" t="str" cm="1">
        <f t="array" aca="1" ref="BF36" ca="1">IF($B36="","",IF(ISBLANK(INDIRECT("R9.Web!D"&amp;SUM(18,38*22,17))),"",INDIRECT("R9.Web!D"&amp;SUM(18,38*22,17))))</f>
        <v>Pasa</v>
      </c>
      <c r="BG36" s="75" t="str" cm="1">
        <f t="array" aca="1" ref="BG36" ca="1">IF($B36="","",IF(ISBLANK(INDIRECT("R9.Web!D"&amp;SUM(18,38*23,17))),"",INDIRECT("R9.Web!D"&amp;SUM(18,38*23,17))))</f>
        <v>N/A</v>
      </c>
      <c r="BH36" s="75" t="str" cm="1">
        <f t="array" aca="1" ref="BH36" ca="1">IF($B36="","",IF(ISBLANK(INDIRECT("R9.Web!D"&amp;SUM(18,38*24,17))),"",INDIRECT("R9.Web!D"&amp;SUM(18,38*24,17))))</f>
        <v>N/A</v>
      </c>
      <c r="BI36" s="75" t="str" cm="1">
        <f t="array" aca="1" ref="BI36" ca="1">IF($B36="","",IF(ISBLANK(INDIRECT("R9.Web!D"&amp;SUM(18,38*25,17))),"",INDIRECT("R9.Web!D"&amp;SUM(18,38*25,17))))</f>
        <v>Pasa</v>
      </c>
      <c r="BJ36" s="75" t="str" cm="1">
        <f t="array" aca="1" ref="BJ36" ca="1">IF($B36="","",IF(ISBLANK(INDIRECT("R9.Web!D"&amp;SUM(18,38*26,17))),"",INDIRECT("R9.Web!D"&amp;SUM(18,38*26,17))))</f>
        <v>Pasa</v>
      </c>
      <c r="BK36" s="75" t="str" cm="1">
        <f t="array" aca="1" ref="BK36" ca="1">IF($B36="","",IF(ISBLANK(INDIRECT("R9.Web!D"&amp;SUM(18,38*27,17))),"",INDIRECT("R9.Web!D"&amp;SUM(18,38*27,17))))</f>
        <v>Falla</v>
      </c>
      <c r="BL36" s="75" t="str" cm="1">
        <f t="array" aca="1" ref="BL36" ca="1">IF($B36="","",IF(ISBLANK(INDIRECT("R9.Web!D"&amp;SUM(18,38*28,17))),"",INDIRECT("R9.Web!D"&amp;SUM(18,38*28,17))))</f>
        <v>Falla</v>
      </c>
      <c r="BM36" s="75" t="str" cm="1">
        <f t="array" aca="1" ref="BM36" ca="1">IF($B36="","",IF(ISBLANK(INDIRECT("R9.Web!D"&amp;SUM(18,38*29,17))),"",INDIRECT("R9.Web!D"&amp;SUM(18,38*29,17))))</f>
        <v>Pasa</v>
      </c>
      <c r="BN36" s="75" t="str" cm="1">
        <f t="array" aca="1" ref="BN36" ca="1">IF($B36="","",IF(ISBLANK(INDIRECT("R9.Web!D"&amp;SUM(18,38*30,17))),"",INDIRECT("R9.Web!D"&amp;SUM(18,38*30,17))))</f>
        <v>Pasa</v>
      </c>
      <c r="BO36" s="75" t="str" cm="1">
        <f t="array" aca="1" ref="BO36" ca="1">IF($B36="","",IF(ISBLANK(INDIRECT("R9.Web!D"&amp;SUM(18,38*31,17))),"",INDIRECT("R9.Web!D"&amp;SUM(18,38*31,17))))</f>
        <v>Falla</v>
      </c>
      <c r="BP36" s="75" t="str" cm="1">
        <f t="array" aca="1" ref="BP36" ca="1">IF($B36="","",IF(ISBLANK(INDIRECT("R9.Web!D"&amp;SUM(18,38*32,17))),"",INDIRECT("R9.Web!D"&amp;SUM(18,38*32,17))))</f>
        <v>N/A</v>
      </c>
      <c r="BQ36" s="75" t="str" cm="1">
        <f t="array" aca="1" ref="BQ36" ca="1">IF($B36="","",IF(ISBLANK(INDIRECT("R9.Web!D"&amp;SUM(18,38*33,17))),"",INDIRECT("R9.Web!D"&amp;SUM(18,38*33,17))))</f>
        <v>Pasa</v>
      </c>
      <c r="BR36" s="75" t="str" cm="1">
        <f t="array" aca="1" ref="BR36" ca="1">IF($B36="","",IF(ISBLANK(INDIRECT("R9.Web!D"&amp;SUM(18,38*34,17))),"",INDIRECT("R9.Web!D"&amp;SUM(18,38*34,17))))</f>
        <v>Falla</v>
      </c>
      <c r="BS36" s="75" t="str" cm="1">
        <f t="array" aca="1" ref="BS36" ca="1">IF($B36="","",IF(ISBLANK(INDIRECT("R9.Web!D"&amp;SUM(18,38*35,17))),"",INDIRECT("R9.Web!D"&amp;SUM(18,38*35,17))))</f>
        <v>N/A</v>
      </c>
      <c r="BT36" s="75" t="str" cm="1">
        <f t="array" aca="1" ref="BT36" ca="1">IF($B36="","",IF(ISBLANK(INDIRECT("R9.Web!D"&amp;SUM(18,38*36,17))),"",INDIRECT("R9.Web!D"&amp;SUM(18,38*36,17))))</f>
        <v>Pasa</v>
      </c>
      <c r="BU36" s="75" t="str" cm="1">
        <f t="array" aca="1" ref="BU36" ca="1">IF($B36="","",IF(ISBLANK(INDIRECT("R9.Web!D"&amp;SUM(18,38*37,17))),"",INDIRECT("R9.Web!D"&amp;SUM(18,38*37,17))))</f>
        <v>N/A</v>
      </c>
      <c r="BV36" s="75" t="str" cm="1">
        <f t="array" aca="1" ref="BV36" ca="1">IF($B36="","",IF(ISBLANK(INDIRECT("R9.Web!D"&amp;SUM(18,38*38,17))),"",INDIRECT("R9.Web!D"&amp;SUM(18,38*38,17))))</f>
        <v>Pasa</v>
      </c>
      <c r="BW36" s="75" t="str" cm="1">
        <f t="array" aca="1" ref="BW36" ca="1">IF($B36="","",IF(ISBLANK(INDIRECT("R9.Web!D"&amp;SUM(18,38*39,17))),"",INDIRECT("R9.Web!D"&amp;SUM(18,38*39,17))))</f>
        <v>Pasa</v>
      </c>
      <c r="BX36" s="75" t="str" cm="1">
        <f t="array" aca="1" ref="BX36" ca="1">IF($B36="","",IF(ISBLANK(INDIRECT("R9.Web!D"&amp;SUM(18,38*40,17))),"",INDIRECT("R9.Web!D"&amp;SUM(18,38*40,17))))</f>
        <v>Pasa</v>
      </c>
      <c r="BY36" s="75" t="str" cm="1">
        <f t="array" aca="1" ref="BY36" ca="1">IF($B36="","",IF(ISBLANK(INDIRECT("R9.Web!D"&amp;SUM(18,38*41,17))),"",INDIRECT("R9.Web!D"&amp;SUM(18,38*41,17))))</f>
        <v>Pasa</v>
      </c>
      <c r="BZ36" s="75" t="str" cm="1">
        <f t="array" aca="1" ref="BZ36" ca="1">IF($B36="","",IF(ISBLANK(INDIRECT("R9.Web!D"&amp;SUM(18,38*42,17))),"",INDIRECT("R9.Web!D"&amp;SUM(18,38*42,17))))</f>
        <v>N/A</v>
      </c>
      <c r="CA36" s="75" t="str" cm="1">
        <f t="array" aca="1" ref="CA36" ca="1">IF($B36="","",IF(ISBLANK(INDIRECT("R9.Web!D"&amp;SUM(18,38*43,17))),"",INDIRECT("R9.Web!D"&amp;SUM(18,38*43,17))))</f>
        <v>Pasa</v>
      </c>
      <c r="CB36" s="75" t="str" cm="1">
        <f t="array" aca="1" ref="CB36" ca="1">IF($B36="","",IF(ISBLANK(INDIRECT("R9.Web!D"&amp;SUM(18,38*44,17))),"",INDIRECT("R9.Web!D"&amp;SUM(18,38*44,17))))</f>
        <v>N/A</v>
      </c>
      <c r="CC36" s="75" t="str" cm="1">
        <f t="array" aca="1" ref="CC36" ca="1">IF($B36="","",IF(ISBLANK(INDIRECT("R9.Web!D"&amp;SUM(18,38*45,17))),"",INDIRECT("R9.Web!D"&amp;SUM(18,38*45,17))))</f>
        <v>N/A</v>
      </c>
      <c r="CD36" s="75" t="str" cm="1">
        <f t="array" aca="1" ref="CD36" ca="1">IF($B36="","",IF(ISBLANK(INDIRECT("R9.Web!D"&amp;SUM(18,38*46,17))),"",INDIRECT("R9.Web!D"&amp;SUM(18,38*46,17))))</f>
        <v>N/A</v>
      </c>
      <c r="CE36" s="75" t="str" cm="1">
        <f t="array" aca="1" ref="CE36" ca="1">IF($B36="","",IF(ISBLANK(INDIRECT("R9.Web!D"&amp;SUM(18,38*47,17))),"",INDIRECT("R9.Web!D"&amp;SUM(18,38*47,17))))</f>
        <v>Pasa</v>
      </c>
      <c r="CF36" s="75" t="str" cm="1">
        <f t="array" aca="1" ref="CF36" ca="1">IF($B36="","",IF(ISBLANK(INDIRECT("R9.Web!D"&amp;SUM(18,38*48,17))),"",INDIRECT("R9.Web!D"&amp;SUM(18,38*48,17))))</f>
        <v>N/A</v>
      </c>
      <c r="CG36" s="75" t="str" cm="1">
        <f t="array" aca="1" ref="CG36" ca="1">IF($B36="","",IF(ISBLANK(INDIRECT("R9.Web!D"&amp;SUM(18,38*49,17))),"",INDIRECT("R9.Web!D"&amp;SUM(18,38*49,17))))</f>
        <v>Falla</v>
      </c>
      <c r="CH36" s="75" t="str" cm="1">
        <f t="array" aca="1" ref="CH36" ca="1">IF($B36="","",IF(ISBLANK(INDIRECT("R11.Software!D"&amp;SUM(18,38*0,17))),"",INDIRECT("R11.Software!D"&amp;SUM(18,38*0,17))))</f>
        <v>Falla</v>
      </c>
      <c r="CI36" s="75" t="str" cm="1">
        <f t="array" aca="1" ref="CI36" ca="1">IF($B36="","",IF(ISBLANK(INDIRECT("R11.Software!D"&amp;SUM(18,38*1,17))),"",INDIRECT("R11.Software!D"&amp;SUM(18,38*1,17))))</f>
        <v>N/A</v>
      </c>
      <c r="CJ36" s="75" t="str" cm="1">
        <f t="array" aca="1" ref="CJ36" ca="1">IF($B36="","",IF(ISBLANK(INDIRECT("R11.Software!D"&amp;SUM(18,38*2,17))),"",INDIRECT("R11.Software!D"&amp;SUM(18,38*2,17))))</f>
        <v>N/A</v>
      </c>
      <c r="CK36" s="75" t="str" cm="1">
        <f t="array" aca="1" ref="CK36" ca="1">IF($B36="","",IF(ISBLANK(INDIRECT("R11.Software!D"&amp;SUM(18,38*3,17))),"",INDIRECT("R11.Software!D"&amp;SUM(18,38*3,17))))</f>
        <v>N/A</v>
      </c>
      <c r="CL36" s="75" t="str" cm="1">
        <f t="array" aca="1" ref="CL36" ca="1">IF($B36="","",IF(ISBLANK(INDIRECT("R11.Software!D"&amp;SUM(18,38*4,17))),"",INDIRECT("R11.Software!D"&amp;SUM(18,38*4,17))))</f>
        <v>N/A</v>
      </c>
      <c r="CM36" s="75" t="str" cm="1">
        <f t="array" aca="1" ref="CM36" ca="1">IF($B36="","",IF(ISBLANK(INDIRECT("R11.Software!D"&amp;SUM(18,38*5,17))),"",INDIRECT("R11.Software!D"&amp;SUM(18,38*5,17))))</f>
        <v>N/A</v>
      </c>
      <c r="CN36" s="75" t="str" cm="1">
        <f t="array" aca="1" ref="CN36" ca="1">IF($B36="","",IF(ISBLANK(INDIRECT("R12.ServiciosApoyo!D"&amp;SUM(18,38*0,17))),"",INDIRECT("R12.ServiciosApoyo!D"&amp;SUM(18,38*0,17))))</f>
        <v>N/A</v>
      </c>
      <c r="CO36" s="75" t="str" cm="1">
        <f t="array" aca="1" ref="CO36" ca="1">IF($B36="","",IF(ISBLANK(INDIRECT("R12.ServiciosApoyo!D"&amp;SUM(18,38*1,17))),"",INDIRECT("R12.ServiciosApoyo!D"&amp;SUM(18,38*1,17))))</f>
        <v>N/A</v>
      </c>
      <c r="CP36" s="75" t="str" cm="1">
        <f t="array" aca="1" ref="CP36" ca="1">IF($B36="","",IF(ISBLANK(INDIRECT("R12.ServiciosApoyo!D"&amp;SUM(18,38*2,17))),"",INDIRECT("R12.ServiciosApoyo!D"&amp;SUM(18,38*2,17))))</f>
        <v>N/A</v>
      </c>
      <c r="CQ36" s="75" t="str" cm="1">
        <f t="array" aca="1" ref="CQ36" ca="1">IF($B36="","",IF(ISBLANK(INDIRECT("R12.ServiciosApoyo!D"&amp;SUM(18,38*3,17))),"",INDIRECT("R12.ServiciosApoyo!D"&amp;SUM(18,38*3,17))))</f>
        <v>N/A</v>
      </c>
      <c r="CR36" s="75" t="str" cm="1">
        <f t="array" aca="1" ref="CR36" ca="1">IF($B36="","",IF(ISBLANK(INDIRECT("R12.ServiciosApoyo!D"&amp;SUM(18,38*4,17))),"",INDIRECT("R12.ServiciosApoyo!D"&amp;SUM(18,38*4,17))))</f>
        <v>N/A</v>
      </c>
      <c r="CU36" s="76"/>
    </row>
    <row r="37" spans="2:99" ht="20.5">
      <c r="B37" s="39" cm="1">
        <f t="array" ref="B37">IFERROR(INDEX('03.Muestra'!$B$8:$B$42,SMALL(IF("Página Web"='03.Muestra'!$D$8:$D$42,ROW('03.Muestra'!$B$8:$B$42)-MIN(ROW('03.Muestra'!$D$8:$D$42))+1,""),ROW()-19)),"")</f>
        <v>18</v>
      </c>
      <c r="C37" s="73" t="str" cm="1">
        <f t="array" ref="C37">IFERROR(INDEX('03.Muestra'!$C$8:$C$42,SMALL(IF("Página Web"='03.Muestra'!$D$8:$D$42,ROW('03.Muestra'!$C$8:$C$42)-MIN(ROW('03.Muestra'!$D$8:$D$42))+1,""),ROW()-19)),"")</f>
        <v>Aviso Legal-Privacidad</v>
      </c>
      <c r="D37" s="74" t="str" cm="1">
        <f t="array" ref="D37">IFERROR(INDEX('03.Muestra'!$F$8:$F$42,SMALL(IF("Página Web"='03.Muestra'!$D$8:$D$42,ROW('03.Muestra'!$F$8:$F$42)-MIN(ROW('03.Muestra'!$D$8:$D$42))+1,""),ROW()-19)),"")</f>
        <v>https://elecciones.comunidad.madrid/es/aviso-legal</v>
      </c>
      <c r="E37" s="75" t="str" cm="1">
        <f t="array" aca="1" ref="E37" ca="1">IF($B37="","",IF(ISBLANK(INDIRECT("R5.Genéricos!D"&amp;SUM(18,38*0,18))),"",INDIRECT("R5.Genéricos!D"&amp;SUM(18,38*0,18))))</f>
        <v>Falla</v>
      </c>
      <c r="F37" s="75" t="str" cm="1">
        <f t="array" aca="1" ref="F37" ca="1">IF($B37="","",IF(ISBLANK(INDIRECT("R5.Genéricos!D"&amp;SUM(18,38*1,18))),"",INDIRECT("R5.Genéricos!D"&amp;SUM(18,38*1,18))))</f>
        <v>N/A</v>
      </c>
      <c r="G37" s="75" t="str" cm="1">
        <f t="array" aca="1" ref="G37" ca="1">IF($B37="","",IF(ISBLANK(INDIRECT("R5.Genéricos!D"&amp;SUM(18,38*2,18))),"",INDIRECT("R5.Genéricos!D"&amp;SUM(18,38*2,18))))</f>
        <v>N/A</v>
      </c>
      <c r="H37" s="75" t="str" cm="1">
        <f t="array" aca="1" ref="H37" ca="1">IF($B37="","",IF(ISBLANK(INDIRECT("R6.Voz!D"&amp;SUM(18,38*0,18))),"",INDIRECT("R6.Voz!D"&amp;SUM(18,38*0,18))))</f>
        <v>N/A</v>
      </c>
      <c r="I37" s="75" t="str" cm="1">
        <f t="array" aca="1" ref="I37" ca="1">IF($B37="","",IF(ISBLANK(INDIRECT("R6.Voz!D"&amp;SUM(18,38*1,18))),"",INDIRECT("R6.Voz!D"&amp;SUM(18,38*1,18))))</f>
        <v>N/A</v>
      </c>
      <c r="J37" s="75" t="str" cm="1">
        <f t="array" aca="1" ref="J37" ca="1">IF($B37="","",IF(ISBLANK(INDIRECT("R6.Voz!D"&amp;SUM(18,38*2,18))),"",INDIRECT("R6.Voz!D"&amp;SUM(18,38*2,18))))</f>
        <v>N/A</v>
      </c>
      <c r="K37" s="75" t="str" cm="1">
        <f t="array" aca="1" ref="K37" ca="1">IF($B37="","",IF(ISBLANK(INDIRECT("R6.Voz!D"&amp;SUM(18,38*3,18))),"",INDIRECT("R6.Voz!D"&amp;SUM(18,38*3,18))))</f>
        <v>N/A</v>
      </c>
      <c r="L37" s="75" t="str" cm="1">
        <f t="array" aca="1" ref="L37" ca="1">IF($B37="","",IF(ISBLANK(INDIRECT("R6.Voz!D"&amp;SUM(18,38*4,18))),"",INDIRECT("R6.Voz!D"&amp;SUM(18,38*4,18))))</f>
        <v>N/A</v>
      </c>
      <c r="M37" s="75" t="str" cm="1">
        <f t="array" aca="1" ref="M37" ca="1">IF($B37="","",IF(ISBLANK(INDIRECT("R6.Voz!D"&amp;SUM(18,38*5,18))),"",INDIRECT("R6.Voz!D"&amp;SUM(18,38*5,18))))</f>
        <v>N/A</v>
      </c>
      <c r="N37" s="75" t="str" cm="1">
        <f t="array" aca="1" ref="N37" ca="1">IF($B37="","",IF(ISBLANK(INDIRECT("R6.Voz!D"&amp;SUM(18,38*6,18))),"",INDIRECT("R6.Voz!D"&amp;SUM(18,38*6,18))))</f>
        <v>N/A</v>
      </c>
      <c r="O37" s="75" t="str" cm="1">
        <f t="array" aca="1" ref="O37" ca="1">IF($B37="","",IF(ISBLANK(INDIRECT("R6.Voz!D"&amp;SUM(18,38*7,18))),"",INDIRECT("R6.Voz!D"&amp;SUM(18,38*7,18))))</f>
        <v>N/A</v>
      </c>
      <c r="P37" s="75" t="str" cm="1">
        <f t="array" aca="1" ref="P37" ca="1">IF($B37="","",IF(ISBLANK(INDIRECT("R6.Voz!D"&amp;SUM(18,38*8,18))),"",INDIRECT("R6.Voz!D"&amp;SUM(18,38*8,18))))</f>
        <v>N/A</v>
      </c>
      <c r="Q37" s="75" t="str" cm="1">
        <f t="array" aca="1" ref="Q37" ca="1">IF($B37="","",IF(ISBLANK(INDIRECT("R6.Voz!D"&amp;SUM(18,38*9,18))),"",INDIRECT("R6.Voz!D"&amp;SUM(18,38*9,18))))</f>
        <v>N/A</v>
      </c>
      <c r="R37" s="75" t="str" cm="1">
        <f t="array" aca="1" ref="R37" ca="1">IF($B37="","",IF(ISBLANK(INDIRECT("R6.Voz!D"&amp;SUM(18,38*10,18))),"",INDIRECT("R6.Voz!D"&amp;SUM(18,38*10,18))))</f>
        <v>N/A</v>
      </c>
      <c r="S37" s="75" t="str" cm="1">
        <f t="array" aca="1" ref="S37" ca="1">IF($B37="","",IF(ISBLANK(INDIRECT("R6.Voz!D"&amp;SUM(18,38*11,18))),"",INDIRECT("R6.Voz!D"&amp;SUM(18,38*11,18))))</f>
        <v>N/A</v>
      </c>
      <c r="T37" s="75" t="str" cm="1">
        <f t="array" aca="1" ref="T37" ca="1">IF($B37="","",IF(ISBLANK(INDIRECT("R6.Voz!D"&amp;SUM(18,38*12,18))),"",INDIRECT("R6.Voz!D"&amp;SUM(18,38*12,18))))</f>
        <v>N/A</v>
      </c>
      <c r="U37" s="75" t="str" cm="1">
        <f t="array" aca="1" ref="U37" ca="1">IF($B37="","",IF(ISBLANK(INDIRECT("R6.Voz!D"&amp;SUM(18,38*13,18))),"",INDIRECT("R6.Voz!D"&amp;SUM(18,38*13,18))))</f>
        <v>N/A</v>
      </c>
      <c r="V37" s="75" t="str" cm="1">
        <f t="array" aca="1" ref="V37" ca="1">IF($B37="","",IF(ISBLANK(INDIRECT("R6.Voz!D"&amp;SUM(18,38*14,18))),"",INDIRECT("R6.Voz!D"&amp;SUM(18,38*14,18))))</f>
        <v>N/A</v>
      </c>
      <c r="W37" s="75" t="str" cm="1">
        <f t="array" aca="1" ref="W37" ca="1">IF($B37="","",IF(ISBLANK(INDIRECT("R6.Voz!D"&amp;SUM(18,38*15,18))),"",INDIRECT("R6.Voz!D"&amp;SUM(18,38*15,18))))</f>
        <v>N/A</v>
      </c>
      <c r="X37" s="75" t="str" cm="1">
        <f t="array" aca="1" ref="X37" ca="1">IF($B37="","",IF(ISBLANK(INDIRECT("R6.Voz!D"&amp;SUM(18,38*16,18))),"",INDIRECT("R6.Voz!D"&amp;SUM(18,38*16,18))))</f>
        <v>N/A</v>
      </c>
      <c r="Y37" s="75" t="str" cm="1">
        <f t="array" aca="1" ref="Y37" ca="1">IF($B37="","",IF(ISBLANK(INDIRECT("R6.Voz!D"&amp;SUM(18,38*17,18))),"",INDIRECT("R6.Voz!D"&amp;SUM(18,38*17,18))))</f>
        <v>N/A</v>
      </c>
      <c r="Z37" s="75" t="str" cm="1">
        <f t="array" aca="1" ref="Z37" ca="1">IF($B37="","",IF(ISBLANK(INDIRECT("R6.Voz!D"&amp;SUM(18,38*18,18))),"",INDIRECT("R6.Voz!D"&amp;SUM(18,38*18,18))))</f>
        <v>N/A</v>
      </c>
      <c r="AA37" s="75" t="str" cm="1">
        <f t="array" aca="1" ref="AA37" ca="1">IF($B37="","",IF(ISBLANK(INDIRECT("R7.Video!D"&amp;SUM(18,38*0,18))),"",INDIRECT("R7.Video!D"&amp;SUM(18,38*0,18))))</f>
        <v>N/A</v>
      </c>
      <c r="AB37" s="75" t="str" cm="1">
        <f t="array" aca="1" ref="AB37" ca="1">IF($B37="","",IF(ISBLANK(INDIRECT("R7.Video!D"&amp;SUM(18,38*1,18))),"",INDIRECT("R7.Video!D"&amp;SUM(18,38*1,18))))</f>
        <v>N/A</v>
      </c>
      <c r="AC37" s="75" t="str" cm="1">
        <f t="array" aca="1" ref="AC37" ca="1">IF($B37="","",IF(ISBLANK(INDIRECT("R7.Video!D"&amp;SUM(18,38*2,18))),"",INDIRECT("R7.Video!D"&amp;SUM(18,38*2,18))))</f>
        <v>N/A</v>
      </c>
      <c r="AD37" s="75" t="str" cm="1">
        <f t="array" aca="1" ref="AD37" ca="1">IF($B37="","",IF(ISBLANK(INDIRECT("R7.Video!D"&amp;SUM(18,38*3,18))),"",INDIRECT("R7.Video!D"&amp;SUM(18,38*3,18))))</f>
        <v>N/A</v>
      </c>
      <c r="AE37" s="75" t="str" cm="1">
        <f t="array" aca="1" ref="AE37" ca="1">IF($B37="","",IF(ISBLANK(INDIRECT("R7.Video!D"&amp;SUM(18,38*4,18))),"",INDIRECT("R7.Video!D"&amp;SUM(18,38*4,18))))</f>
        <v>N/A</v>
      </c>
      <c r="AF37" s="75" t="str" cm="1">
        <f t="array" aca="1" ref="AF37" ca="1">IF($B37="","",IF(ISBLANK(INDIRECT("R7.Video!D"&amp;SUM(18,38*5,18))),"",INDIRECT("R7.Video!D"&amp;SUM(18,38*5,18))))</f>
        <v>N/A</v>
      </c>
      <c r="AG37" s="75" t="str" cm="1">
        <f t="array" aca="1" ref="AG37" ca="1">IF($B37="","",IF(ISBLANK(INDIRECT("R7.Video!D"&amp;SUM(18,38*6,18))),"",INDIRECT("R7.Video!D"&amp;SUM(18,38*6,18))))</f>
        <v>N/A</v>
      </c>
      <c r="AH37" s="75" t="str" cm="1">
        <f t="array" aca="1" ref="AH37" ca="1">IF($B37="","",IF(ISBLANK(INDIRECT("R7.Video!D"&amp;SUM(18,38*7,18))),"",INDIRECT("R7.Video!D"&amp;SUM(18,38*7,18))))</f>
        <v>N/A</v>
      </c>
      <c r="AI37" s="75" t="str" cm="1">
        <f t="array" aca="1" ref="AI37" ca="1">IF($B37="","",IF(ISBLANK(INDIRECT("R7.Video!D"&amp;SUM(18,38*8,18))),"",INDIRECT("R7.Video!D"&amp;SUM(18,38*8,18))))</f>
        <v>N/A</v>
      </c>
      <c r="AJ37" s="75" t="str" cm="1">
        <f t="array" aca="1" ref="AJ37" ca="1">IF($B37="","",IF(ISBLANK(INDIRECT("R9.Web!D"&amp;SUM(18,38*0,18))),"",INDIRECT("R9.Web!D"&amp;SUM(18,38*0,18))))</f>
        <v>Pasa</v>
      </c>
      <c r="AK37" s="75" t="str" cm="1">
        <f t="array" aca="1" ref="AK37" ca="1">IF($B37="","",IF(ISBLANK(INDIRECT("R9.Web!D"&amp;SUM(18,38*1,18))),"",INDIRECT("R9.Web!D"&amp;SUM(18,38*1,18))))</f>
        <v>N/A</v>
      </c>
      <c r="AL37" s="75" t="str" cm="1">
        <f t="array" aca="1" ref="AL37" ca="1">IF($B37="","",IF(ISBLANK(INDIRECT("R9.Web!D"&amp;SUM(18,38*2,18))),"",INDIRECT("R9.Web!D"&amp;SUM(18,38*2,18))))</f>
        <v>N/A</v>
      </c>
      <c r="AM37" s="75" t="str" cm="1">
        <f t="array" aca="1" ref="AM37" ca="1">IF($B37="","",IF(ISBLANK(INDIRECT("R9.Web!D"&amp;SUM(18,38*3,18))),"",INDIRECT("R9.Web!D"&amp;SUM(18,38*3,18))))</f>
        <v>N/A</v>
      </c>
      <c r="AN37" s="75" t="str" cm="1">
        <f t="array" aca="1" ref="AN37" ca="1">IF($B37="","",IF(ISBLANK(INDIRECT("R9.Web!D"&amp;SUM(18,38*4,18))),"",INDIRECT("R9.Web!D"&amp;SUM(18,38*4,18))))</f>
        <v>N/A</v>
      </c>
      <c r="AO37" s="75" t="str" cm="1">
        <f t="array" aca="1" ref="AO37" ca="1">IF($B37="","",IF(ISBLANK(INDIRECT("R9.Web!D"&amp;SUM(18,38*5,18))),"",INDIRECT("R9.Web!D"&amp;SUM(18,38*5,18))))</f>
        <v>Falla</v>
      </c>
      <c r="AP37" s="75" t="str" cm="1">
        <f t="array" aca="1" ref="AP37" ca="1">IF($B37="","",IF(ISBLANK(INDIRECT("R9.Web!D"&amp;SUM(18,38*6,18))),"",INDIRECT("R9.Web!D"&amp;SUM(18,38*6,18))))</f>
        <v>Falla</v>
      </c>
      <c r="AQ37" s="75" t="str" cm="1">
        <f t="array" aca="1" ref="AQ37" ca="1">IF($B37="","",IF(ISBLANK(INDIRECT("R9.Web!D"&amp;SUM(18,38*7,18))),"",INDIRECT("R9.Web!D"&amp;SUM(18,38*7,18))))</f>
        <v>Falla</v>
      </c>
      <c r="AR37" s="75" t="str" cm="1">
        <f t="array" aca="1" ref="AR37" ca="1">IF($B37="","",IF(ISBLANK(INDIRECT("R9.Web!D"&amp;SUM(18,38*8,18))),"",INDIRECT("R9.Web!D"&amp;SUM(18,38*8,18))))</f>
        <v>Falla</v>
      </c>
      <c r="AS37" s="75" t="str" cm="1">
        <f t="array" aca="1" ref="AS37" ca="1">IF($B37="","",IF(ISBLANK(INDIRECT("R9.Web!D"&amp;SUM(18,38*9,18))),"",INDIRECT("R9.Web!D"&amp;SUM(18,38*9,18))))</f>
        <v>N/A</v>
      </c>
      <c r="AT37" s="75" t="str" cm="1">
        <f t="array" aca="1" ref="AT37" ca="1">IF($B37="","",IF(ISBLANK(INDIRECT("R9.Web!D"&amp;SUM(18,38*10,18))),"",INDIRECT("R9.Web!D"&amp;SUM(18,38*10,18))))</f>
        <v>Pasa</v>
      </c>
      <c r="AU37" s="75" t="str" cm="1">
        <f t="array" aca="1" ref="AU37" ca="1">IF($B37="","",IF(ISBLANK(INDIRECT("R9.Web!D"&amp;SUM(18,38*11,18))),"",INDIRECT("R9.Web!D"&amp;SUM(18,38*11,18))))</f>
        <v>N/A</v>
      </c>
      <c r="AV37" s="75" t="str" cm="1">
        <f t="array" aca="1" ref="AV37" ca="1">IF($B37="","",IF(ISBLANK(INDIRECT("R9.Web!D"&amp;SUM(18,38*12,18))),"",INDIRECT("R9.Web!D"&amp;SUM(18,38*12,18))))</f>
        <v>Pasa</v>
      </c>
      <c r="AW37" s="75" t="str" cm="1">
        <f t="array" aca="1" ref="AW37" ca="1">IF($B37="","",IF(ISBLANK(INDIRECT("R9.Web!D"&amp;SUM(18,38*13,18))),"",INDIRECT("R9.Web!D"&amp;SUM(18,38*13,18))))</f>
        <v>Falla</v>
      </c>
      <c r="AX37" s="75" t="str" cm="1">
        <f t="array" aca="1" ref="AX37" ca="1">IF($B37="","",IF(ISBLANK(INDIRECT("R9.Web!D"&amp;SUM(18,38*14,18))),"",INDIRECT("R9.Web!D"&amp;SUM(18,38*14,18))))</f>
        <v>N/A</v>
      </c>
      <c r="AY37" s="75" t="str" cm="1">
        <f t="array" aca="1" ref="AY37" ca="1">IF($B37="","",IF(ISBLANK(INDIRECT("R9.Web!D"&amp;SUM(18,38*15,18))),"",INDIRECT("R9.Web!D"&amp;SUM(18,38*15,18))))</f>
        <v>Falla</v>
      </c>
      <c r="AZ37" s="75" t="str" cm="1">
        <f t="array" aca="1" ref="AZ37" ca="1">IF($B37="","",IF(ISBLANK(INDIRECT("R9.Web!D"&amp;SUM(18,38*16,18))),"",INDIRECT("R9.Web!D"&amp;SUM(18,38*16,18))))</f>
        <v>Falla</v>
      </c>
      <c r="BA37" s="75" t="str" cm="1">
        <f t="array" aca="1" ref="BA37" ca="1">IF($B37="","",IF(ISBLANK(INDIRECT("R9.Web!D"&amp;SUM(18,38*17,18))),"",INDIRECT("R9.Web!D"&amp;SUM(18,38*17,18))))</f>
        <v>Pasa</v>
      </c>
      <c r="BB37" s="75" t="str" cm="1">
        <f t="array" aca="1" ref="BB37" ca="1">IF($B37="","",IF(ISBLANK(INDIRECT("R9.Web!D"&amp;SUM(18,38*18,18))),"",INDIRECT("R9.Web!D"&amp;SUM(18,38*18,18))))</f>
        <v>Falla</v>
      </c>
      <c r="BC37" s="75" t="str" cm="1">
        <f t="array" aca="1" ref="BC37" ca="1">IF($B37="","",IF(ISBLANK(INDIRECT("R9.Web!D"&amp;SUM(18,38*19,18))),"",INDIRECT("R9.Web!D"&amp;SUM(18,38*19,18))))</f>
        <v>Falla</v>
      </c>
      <c r="BD37" s="75" t="str" cm="1">
        <f t="array" aca="1" ref="BD37" ca="1">IF($B37="","",IF(ISBLANK(INDIRECT("R9.Web!D"&amp;SUM(18,38*20,18))),"",INDIRECT("R9.Web!D"&amp;SUM(18,38*20,18))))</f>
        <v>Pasa</v>
      </c>
      <c r="BE37" s="75" t="str" cm="1">
        <f t="array" aca="1" ref="BE37" ca="1">IF($B37="","",IF(ISBLANK(INDIRECT("R9.Web!D"&amp;SUM(18,38*21,18))),"",INDIRECT("R9.Web!D"&amp;SUM(18,38*21,18))))</f>
        <v>N/A</v>
      </c>
      <c r="BF37" s="75" t="str" cm="1">
        <f t="array" aca="1" ref="BF37" ca="1">IF($B37="","",IF(ISBLANK(INDIRECT("R9.Web!D"&amp;SUM(18,38*22,18))),"",INDIRECT("R9.Web!D"&amp;SUM(18,38*22,18))))</f>
        <v>Pasa</v>
      </c>
      <c r="BG37" s="75" t="str" cm="1">
        <f t="array" aca="1" ref="BG37" ca="1">IF($B37="","",IF(ISBLANK(INDIRECT("R9.Web!D"&amp;SUM(18,38*23,18))),"",INDIRECT("R9.Web!D"&amp;SUM(18,38*23,18))))</f>
        <v>N/A</v>
      </c>
      <c r="BH37" s="75" t="str" cm="1">
        <f t="array" aca="1" ref="BH37" ca="1">IF($B37="","",IF(ISBLANK(INDIRECT("R9.Web!D"&amp;SUM(18,38*24,18))),"",INDIRECT("R9.Web!D"&amp;SUM(18,38*24,18))))</f>
        <v>N/A</v>
      </c>
      <c r="BI37" s="75" t="str" cm="1">
        <f t="array" aca="1" ref="BI37" ca="1">IF($B37="","",IF(ISBLANK(INDIRECT("R9.Web!D"&amp;SUM(18,38*25,18))),"",INDIRECT("R9.Web!D"&amp;SUM(18,38*25,18))))</f>
        <v>Pasa</v>
      </c>
      <c r="BJ37" s="75" t="str" cm="1">
        <f t="array" aca="1" ref="BJ37" ca="1">IF($B37="","",IF(ISBLANK(INDIRECT("R9.Web!D"&amp;SUM(18,38*26,18))),"",INDIRECT("R9.Web!D"&amp;SUM(18,38*26,18))))</f>
        <v>Pasa</v>
      </c>
      <c r="BK37" s="75" t="str" cm="1">
        <f t="array" aca="1" ref="BK37" ca="1">IF($B37="","",IF(ISBLANK(INDIRECT("R9.Web!D"&amp;SUM(18,38*27,18))),"",INDIRECT("R9.Web!D"&amp;SUM(18,38*27,18))))</f>
        <v>Falla</v>
      </c>
      <c r="BL37" s="75" t="str" cm="1">
        <f t="array" aca="1" ref="BL37" ca="1">IF($B37="","",IF(ISBLANK(INDIRECT("R9.Web!D"&amp;SUM(18,38*28,18))),"",INDIRECT("R9.Web!D"&amp;SUM(18,38*28,18))))</f>
        <v>Falla</v>
      </c>
      <c r="BM37" s="75" t="str" cm="1">
        <f t="array" aca="1" ref="BM37" ca="1">IF($B37="","",IF(ISBLANK(INDIRECT("R9.Web!D"&amp;SUM(18,38*29,18))),"",INDIRECT("R9.Web!D"&amp;SUM(18,38*29,18))))</f>
        <v>Pasa</v>
      </c>
      <c r="BN37" s="75" t="str" cm="1">
        <f t="array" aca="1" ref="BN37" ca="1">IF($B37="","",IF(ISBLANK(INDIRECT("R9.Web!D"&amp;SUM(18,38*30,18))),"",INDIRECT("R9.Web!D"&amp;SUM(18,38*30,18))))</f>
        <v>Pasa</v>
      </c>
      <c r="BO37" s="75" t="str" cm="1">
        <f t="array" aca="1" ref="BO37" ca="1">IF($B37="","",IF(ISBLANK(INDIRECT("R9.Web!D"&amp;SUM(18,38*31,18))),"",INDIRECT("R9.Web!D"&amp;SUM(18,38*31,18))))</f>
        <v>Falla</v>
      </c>
      <c r="BP37" s="75" t="str" cm="1">
        <f t="array" aca="1" ref="BP37" ca="1">IF($B37="","",IF(ISBLANK(INDIRECT("R9.Web!D"&amp;SUM(18,38*32,18))),"",INDIRECT("R9.Web!D"&amp;SUM(18,38*32,18))))</f>
        <v>N/A</v>
      </c>
      <c r="BQ37" s="75" t="str" cm="1">
        <f t="array" aca="1" ref="BQ37" ca="1">IF($B37="","",IF(ISBLANK(INDIRECT("R9.Web!D"&amp;SUM(18,38*33,18))),"",INDIRECT("R9.Web!D"&amp;SUM(18,38*33,18))))</f>
        <v>Pasa</v>
      </c>
      <c r="BR37" s="75" t="str" cm="1">
        <f t="array" aca="1" ref="BR37" ca="1">IF($B37="","",IF(ISBLANK(INDIRECT("R9.Web!D"&amp;SUM(18,38*34,18))),"",INDIRECT("R9.Web!D"&amp;SUM(18,38*34,18))))</f>
        <v>Falla</v>
      </c>
      <c r="BS37" s="75" t="str" cm="1">
        <f t="array" aca="1" ref="BS37" ca="1">IF($B37="","",IF(ISBLANK(INDIRECT("R9.Web!D"&amp;SUM(18,38*35,18))),"",INDIRECT("R9.Web!D"&amp;SUM(18,38*35,18))))</f>
        <v>N/A</v>
      </c>
      <c r="BT37" s="75" t="str" cm="1">
        <f t="array" aca="1" ref="BT37" ca="1">IF($B37="","",IF(ISBLANK(INDIRECT("R9.Web!D"&amp;SUM(18,38*36,18))),"",INDIRECT("R9.Web!D"&amp;SUM(18,38*36,18))))</f>
        <v>Pasa</v>
      </c>
      <c r="BU37" s="75" t="str" cm="1">
        <f t="array" aca="1" ref="BU37" ca="1">IF($B37="","",IF(ISBLANK(INDIRECT("R9.Web!D"&amp;SUM(18,38*37,18))),"",INDIRECT("R9.Web!D"&amp;SUM(18,38*37,18))))</f>
        <v>N/A</v>
      </c>
      <c r="BV37" s="75" t="str" cm="1">
        <f t="array" aca="1" ref="BV37" ca="1">IF($B37="","",IF(ISBLANK(INDIRECT("R9.Web!D"&amp;SUM(18,38*38,18))),"",INDIRECT("R9.Web!D"&amp;SUM(18,38*38,18))))</f>
        <v>Pasa</v>
      </c>
      <c r="BW37" s="75" t="str" cm="1">
        <f t="array" aca="1" ref="BW37" ca="1">IF($B37="","",IF(ISBLANK(INDIRECT("R9.Web!D"&amp;SUM(18,38*39,18))),"",INDIRECT("R9.Web!D"&amp;SUM(18,38*39,18))))</f>
        <v>Pasa</v>
      </c>
      <c r="BX37" s="75" t="str" cm="1">
        <f t="array" aca="1" ref="BX37" ca="1">IF($B37="","",IF(ISBLANK(INDIRECT("R9.Web!D"&amp;SUM(18,38*40,18))),"",INDIRECT("R9.Web!D"&amp;SUM(18,38*40,18))))</f>
        <v>Pasa</v>
      </c>
      <c r="BY37" s="75" t="str" cm="1">
        <f t="array" aca="1" ref="BY37" ca="1">IF($B37="","",IF(ISBLANK(INDIRECT("R9.Web!D"&amp;SUM(18,38*41,18))),"",INDIRECT("R9.Web!D"&amp;SUM(18,38*41,18))))</f>
        <v>Pasa</v>
      </c>
      <c r="BZ37" s="75" t="str" cm="1">
        <f t="array" aca="1" ref="BZ37" ca="1">IF($B37="","",IF(ISBLANK(INDIRECT("R9.Web!D"&amp;SUM(18,38*42,18))),"",INDIRECT("R9.Web!D"&amp;SUM(18,38*42,18))))</f>
        <v>N/A</v>
      </c>
      <c r="CA37" s="75" t="str" cm="1">
        <f t="array" aca="1" ref="CA37" ca="1">IF($B37="","",IF(ISBLANK(INDIRECT("R9.Web!D"&amp;SUM(18,38*43,18))),"",INDIRECT("R9.Web!D"&amp;SUM(18,38*43,18))))</f>
        <v>Pasa</v>
      </c>
      <c r="CB37" s="75" t="str" cm="1">
        <f t="array" aca="1" ref="CB37" ca="1">IF($B37="","",IF(ISBLANK(INDIRECT("R9.Web!D"&amp;SUM(18,38*44,18))),"",INDIRECT("R9.Web!D"&amp;SUM(18,38*44,18))))</f>
        <v>N/A</v>
      </c>
      <c r="CC37" s="75" t="str" cm="1">
        <f t="array" aca="1" ref="CC37" ca="1">IF($B37="","",IF(ISBLANK(INDIRECT("R9.Web!D"&amp;SUM(18,38*45,18))),"",INDIRECT("R9.Web!D"&amp;SUM(18,38*45,18))))</f>
        <v>N/A</v>
      </c>
      <c r="CD37" s="75" t="str" cm="1">
        <f t="array" aca="1" ref="CD37" ca="1">IF($B37="","",IF(ISBLANK(INDIRECT("R9.Web!D"&amp;SUM(18,38*46,18))),"",INDIRECT("R9.Web!D"&amp;SUM(18,38*46,18))))</f>
        <v>N/A</v>
      </c>
      <c r="CE37" s="75" t="str" cm="1">
        <f t="array" aca="1" ref="CE37" ca="1">IF($B37="","",IF(ISBLANK(INDIRECT("R9.Web!D"&amp;SUM(18,38*47,18))),"",INDIRECT("R9.Web!D"&amp;SUM(18,38*47,18))))</f>
        <v>Pasa</v>
      </c>
      <c r="CF37" s="75" t="str" cm="1">
        <f t="array" aca="1" ref="CF37" ca="1">IF($B37="","",IF(ISBLANK(INDIRECT("R9.Web!D"&amp;SUM(18,38*48,18))),"",INDIRECT("R9.Web!D"&amp;SUM(18,38*48,18))))</f>
        <v>N/A</v>
      </c>
      <c r="CG37" s="75" t="str" cm="1">
        <f t="array" aca="1" ref="CG37" ca="1">IF($B37="","",IF(ISBLANK(INDIRECT("R9.Web!D"&amp;SUM(18,38*49,18))),"",INDIRECT("R9.Web!D"&amp;SUM(18,38*49,18))))</f>
        <v>Falla</v>
      </c>
      <c r="CH37" s="75" t="str" cm="1">
        <f t="array" aca="1" ref="CH37" ca="1">IF($B37="","",IF(ISBLANK(INDIRECT("R11.Software!D"&amp;SUM(18,38*0,18))),"",INDIRECT("R11.Software!D"&amp;SUM(18,38*0,18))))</f>
        <v>Falla</v>
      </c>
      <c r="CI37" s="75" t="str" cm="1">
        <f t="array" aca="1" ref="CI37" ca="1">IF($B37="","",IF(ISBLANK(INDIRECT("R11.Software!D"&amp;SUM(18,38*1,18))),"",INDIRECT("R11.Software!D"&amp;SUM(18,38*1,18))))</f>
        <v>N/A</v>
      </c>
      <c r="CJ37" s="75" t="str" cm="1">
        <f t="array" aca="1" ref="CJ37" ca="1">IF($B37="","",IF(ISBLANK(INDIRECT("R11.Software!D"&amp;SUM(18,38*2,18))),"",INDIRECT("R11.Software!D"&amp;SUM(18,38*2,18))))</f>
        <v>N/A</v>
      </c>
      <c r="CK37" s="75" t="str" cm="1">
        <f t="array" aca="1" ref="CK37" ca="1">IF($B37="","",IF(ISBLANK(INDIRECT("R11.Software!D"&amp;SUM(18,38*3,18))),"",INDIRECT("R11.Software!D"&amp;SUM(18,38*3,18))))</f>
        <v>N/A</v>
      </c>
      <c r="CL37" s="75" t="str" cm="1">
        <f t="array" aca="1" ref="CL37" ca="1">IF($B37="","",IF(ISBLANK(INDIRECT("R11.Software!D"&amp;SUM(18,38*4,18))),"",INDIRECT("R11.Software!D"&amp;SUM(18,38*4,18))))</f>
        <v>N/A</v>
      </c>
      <c r="CM37" s="75" t="str" cm="1">
        <f t="array" aca="1" ref="CM37" ca="1">IF($B37="","",IF(ISBLANK(INDIRECT("R11.Software!D"&amp;SUM(18,38*5,18))),"",INDIRECT("R11.Software!D"&amp;SUM(18,38*5,18))))</f>
        <v>N/A</v>
      </c>
      <c r="CN37" s="75" t="str" cm="1">
        <f t="array" aca="1" ref="CN37" ca="1">IF($B37="","",IF(ISBLANK(INDIRECT("R12.ServiciosApoyo!D"&amp;SUM(18,38*0,18))),"",INDIRECT("R12.ServiciosApoyo!D"&amp;SUM(18,38*0,18))))</f>
        <v>N/A</v>
      </c>
      <c r="CO37" s="75" t="str" cm="1">
        <f t="array" aca="1" ref="CO37" ca="1">IF($B37="","",IF(ISBLANK(INDIRECT("R12.ServiciosApoyo!D"&amp;SUM(18,38*1,18))),"",INDIRECT("R12.ServiciosApoyo!D"&amp;SUM(18,38*1,18))))</f>
        <v>N/A</v>
      </c>
      <c r="CP37" s="75" t="str" cm="1">
        <f t="array" aca="1" ref="CP37" ca="1">IF($B37="","",IF(ISBLANK(INDIRECT("R12.ServiciosApoyo!D"&amp;SUM(18,38*2,18))),"",INDIRECT("R12.ServiciosApoyo!D"&amp;SUM(18,38*2,18))))</f>
        <v>N/A</v>
      </c>
      <c r="CQ37" s="75" t="str" cm="1">
        <f t="array" aca="1" ref="CQ37" ca="1">IF($B37="","",IF(ISBLANK(INDIRECT("R12.ServiciosApoyo!D"&amp;SUM(18,38*3,18))),"",INDIRECT("R12.ServiciosApoyo!D"&amp;SUM(18,38*3,18))))</f>
        <v>N/A</v>
      </c>
      <c r="CR37" s="75" t="str" cm="1">
        <f t="array" aca="1" ref="CR37" ca="1">IF($B37="","",IF(ISBLANK(INDIRECT("R12.ServiciosApoyo!D"&amp;SUM(18,38*4,18))),"",INDIRECT("R12.ServiciosApoyo!D"&amp;SUM(18,38*4,18))))</f>
        <v>N/A</v>
      </c>
      <c r="CU37" s="76"/>
    </row>
    <row r="38" spans="2:99" ht="20.5">
      <c r="B38" s="39" cm="1">
        <f t="array" ref="B38">IFERROR(INDEX('03.Muestra'!$B$8:$B$42,SMALL(IF("Página Web"='03.Muestra'!$D$8:$D$42,ROW('03.Muestra'!$B$8:$B$42)-MIN(ROW('03.Muestra'!$D$8:$D$42))+1,""),ROW()-19)),"")</f>
        <v>19</v>
      </c>
      <c r="C38" s="73" t="str" cm="1">
        <f t="array" ref="C38">IFERROR(INDEX('03.Muestra'!$C$8:$C$42,SMALL(IF("Página Web"='03.Muestra'!$D$8:$D$42,ROW('03.Muestra'!$C$8:$C$42)-MIN(ROW('03.Muestra'!$D$8:$D$42))+1,""),ROW()-19)),"")</f>
        <v>Mapa Web</v>
      </c>
      <c r="D38" s="74" t="str" cm="1">
        <f t="array" ref="D38">IFERROR(INDEX('03.Muestra'!$F$8:$F$42,SMALL(IF("Página Web"='03.Muestra'!$D$8:$D$42,ROW('03.Muestra'!$F$8:$F$42)-MIN(ROW('03.Muestra'!$D$8:$D$42))+1,""),ROW()-19)),"")</f>
        <v>https://elecciones.comunidad.madrid/es/sitemap</v>
      </c>
      <c r="E38" s="75" t="str" cm="1">
        <f t="array" aca="1" ref="E38" ca="1">IF($B38="","",IF(ISBLANK(INDIRECT("R5.Genéricos!D"&amp;SUM(18,38*0,19))),"",INDIRECT("R5.Genéricos!D"&amp;SUM(18,38*0,19))))</f>
        <v>N/A</v>
      </c>
      <c r="F38" s="75" t="str" cm="1">
        <f t="array" aca="1" ref="F38" ca="1">IF($B38="","",IF(ISBLANK(INDIRECT("R5.Genéricos!D"&amp;SUM(18,38*1,19))),"",INDIRECT("R5.Genéricos!D"&amp;SUM(18,38*1,19))))</f>
        <v>N/A</v>
      </c>
      <c r="G38" s="75" t="str" cm="1">
        <f t="array" aca="1" ref="G38" ca="1">IF($B38="","",IF(ISBLANK(INDIRECT("R5.Genéricos!D"&amp;SUM(18,38*2,19))),"",INDIRECT("R5.Genéricos!D"&amp;SUM(18,38*2,19))))</f>
        <v>N/A</v>
      </c>
      <c r="H38" s="75" t="str" cm="1">
        <f t="array" aca="1" ref="H38" ca="1">IF($B38="","",IF(ISBLANK(INDIRECT("R6.Voz!D"&amp;SUM(18,38*0,19))),"",INDIRECT("R6.Voz!D"&amp;SUM(18,38*0,19))))</f>
        <v>N/A</v>
      </c>
      <c r="I38" s="75" t="str" cm="1">
        <f t="array" aca="1" ref="I38" ca="1">IF($B38="","",IF(ISBLANK(INDIRECT("R6.Voz!D"&amp;SUM(18,38*1,19))),"",INDIRECT("R6.Voz!D"&amp;SUM(18,38*1,19))))</f>
        <v>N/A</v>
      </c>
      <c r="J38" s="75" t="str" cm="1">
        <f t="array" aca="1" ref="J38" ca="1">IF($B38="","",IF(ISBLANK(INDIRECT("R6.Voz!D"&amp;SUM(18,38*2,19))),"",INDIRECT("R6.Voz!D"&amp;SUM(18,38*2,19))))</f>
        <v>N/A</v>
      </c>
      <c r="K38" s="75" t="str" cm="1">
        <f t="array" aca="1" ref="K38" ca="1">IF($B38="","",IF(ISBLANK(INDIRECT("R6.Voz!D"&amp;SUM(18,38*3,19))),"",INDIRECT("R6.Voz!D"&amp;SUM(18,38*3,19))))</f>
        <v>N/A</v>
      </c>
      <c r="L38" s="75" t="str" cm="1">
        <f t="array" aca="1" ref="L38" ca="1">IF($B38="","",IF(ISBLANK(INDIRECT("R6.Voz!D"&amp;SUM(18,38*4,19))),"",INDIRECT("R6.Voz!D"&amp;SUM(18,38*4,19))))</f>
        <v>N/A</v>
      </c>
      <c r="M38" s="75" t="str" cm="1">
        <f t="array" aca="1" ref="M38" ca="1">IF($B38="","",IF(ISBLANK(INDIRECT("R6.Voz!D"&amp;SUM(18,38*5,19))),"",INDIRECT("R6.Voz!D"&amp;SUM(18,38*5,19))))</f>
        <v>N/A</v>
      </c>
      <c r="N38" s="75" t="str" cm="1">
        <f t="array" aca="1" ref="N38" ca="1">IF($B38="","",IF(ISBLANK(INDIRECT("R6.Voz!D"&amp;SUM(18,38*6,19))),"",INDIRECT("R6.Voz!D"&amp;SUM(18,38*6,19))))</f>
        <v>N/A</v>
      </c>
      <c r="O38" s="75" t="str" cm="1">
        <f t="array" aca="1" ref="O38" ca="1">IF($B38="","",IF(ISBLANK(INDIRECT("R6.Voz!D"&amp;SUM(18,38*7,19))),"",INDIRECT("R6.Voz!D"&amp;SUM(18,38*7,19))))</f>
        <v>N/A</v>
      </c>
      <c r="P38" s="75" t="str" cm="1">
        <f t="array" aca="1" ref="P38" ca="1">IF($B38="","",IF(ISBLANK(INDIRECT("R6.Voz!D"&amp;SUM(18,38*8,19))),"",INDIRECT("R6.Voz!D"&amp;SUM(18,38*8,19))))</f>
        <v>N/A</v>
      </c>
      <c r="Q38" s="75" t="str" cm="1">
        <f t="array" aca="1" ref="Q38" ca="1">IF($B38="","",IF(ISBLANK(INDIRECT("R6.Voz!D"&amp;SUM(18,38*9,19))),"",INDIRECT("R6.Voz!D"&amp;SUM(18,38*9,19))))</f>
        <v>N/A</v>
      </c>
      <c r="R38" s="75" t="str" cm="1">
        <f t="array" aca="1" ref="R38" ca="1">IF($B38="","",IF(ISBLANK(INDIRECT("R6.Voz!D"&amp;SUM(18,38*10,19))),"",INDIRECT("R6.Voz!D"&amp;SUM(18,38*10,19))))</f>
        <v>N/A</v>
      </c>
      <c r="S38" s="75" t="str" cm="1">
        <f t="array" aca="1" ref="S38" ca="1">IF($B38="","",IF(ISBLANK(INDIRECT("R6.Voz!D"&amp;SUM(18,38*11,19))),"",INDIRECT("R6.Voz!D"&amp;SUM(18,38*11,19))))</f>
        <v>N/A</v>
      </c>
      <c r="T38" s="75" t="str" cm="1">
        <f t="array" aca="1" ref="T38" ca="1">IF($B38="","",IF(ISBLANK(INDIRECT("R6.Voz!D"&amp;SUM(18,38*12,19))),"",INDIRECT("R6.Voz!D"&amp;SUM(18,38*12,19))))</f>
        <v>N/A</v>
      </c>
      <c r="U38" s="75" t="str" cm="1">
        <f t="array" aca="1" ref="U38" ca="1">IF($B38="","",IF(ISBLANK(INDIRECT("R6.Voz!D"&amp;SUM(18,38*13,19))),"",INDIRECT("R6.Voz!D"&amp;SUM(18,38*13,19))))</f>
        <v>N/A</v>
      </c>
      <c r="V38" s="75" t="str" cm="1">
        <f t="array" aca="1" ref="V38" ca="1">IF($B38="","",IF(ISBLANK(INDIRECT("R6.Voz!D"&amp;SUM(18,38*14,19))),"",INDIRECT("R6.Voz!D"&amp;SUM(18,38*14,19))))</f>
        <v>N/A</v>
      </c>
      <c r="W38" s="75" t="str" cm="1">
        <f t="array" aca="1" ref="W38" ca="1">IF($B38="","",IF(ISBLANK(INDIRECT("R6.Voz!D"&amp;SUM(18,38*15,19))),"",INDIRECT("R6.Voz!D"&amp;SUM(18,38*15,19))))</f>
        <v>N/A</v>
      </c>
      <c r="X38" s="75" t="str" cm="1">
        <f t="array" aca="1" ref="X38" ca="1">IF($B38="","",IF(ISBLANK(INDIRECT("R6.Voz!D"&amp;SUM(18,38*16,19))),"",INDIRECT("R6.Voz!D"&amp;SUM(18,38*16,19))))</f>
        <v>N/A</v>
      </c>
      <c r="Y38" s="75" t="str" cm="1">
        <f t="array" aca="1" ref="Y38" ca="1">IF($B38="","",IF(ISBLANK(INDIRECT("R6.Voz!D"&amp;SUM(18,38*17,19))),"",INDIRECT("R6.Voz!D"&amp;SUM(18,38*17,19))))</f>
        <v>N/A</v>
      </c>
      <c r="Z38" s="75" t="str" cm="1">
        <f t="array" aca="1" ref="Z38" ca="1">IF($B38="","",IF(ISBLANK(INDIRECT("R6.Voz!D"&amp;SUM(18,38*18,19))),"",INDIRECT("R6.Voz!D"&amp;SUM(18,38*18,19))))</f>
        <v>N/A</v>
      </c>
      <c r="AA38" s="75" t="str" cm="1">
        <f t="array" aca="1" ref="AA38" ca="1">IF($B38="","",IF(ISBLANK(INDIRECT("R7.Video!D"&amp;SUM(18,38*0,19))),"",INDIRECT("R7.Video!D"&amp;SUM(18,38*0,19))))</f>
        <v>N/A</v>
      </c>
      <c r="AB38" s="75" t="str" cm="1">
        <f t="array" aca="1" ref="AB38" ca="1">IF($B38="","",IF(ISBLANK(INDIRECT("R7.Video!D"&amp;SUM(18,38*1,19))),"",INDIRECT("R7.Video!D"&amp;SUM(18,38*1,19))))</f>
        <v>N/A</v>
      </c>
      <c r="AC38" s="75" t="str" cm="1">
        <f t="array" aca="1" ref="AC38" ca="1">IF($B38="","",IF(ISBLANK(INDIRECT("R7.Video!D"&amp;SUM(18,38*2,19))),"",INDIRECT("R7.Video!D"&amp;SUM(18,38*2,19))))</f>
        <v>N/A</v>
      </c>
      <c r="AD38" s="75" t="str" cm="1">
        <f t="array" aca="1" ref="AD38" ca="1">IF($B38="","",IF(ISBLANK(INDIRECT("R7.Video!D"&amp;SUM(18,38*3,19))),"",INDIRECT("R7.Video!D"&amp;SUM(18,38*3,19))))</f>
        <v>N/A</v>
      </c>
      <c r="AE38" s="75" t="str" cm="1">
        <f t="array" aca="1" ref="AE38" ca="1">IF($B38="","",IF(ISBLANK(INDIRECT("R7.Video!D"&amp;SUM(18,38*4,19))),"",INDIRECT("R7.Video!D"&amp;SUM(18,38*4,19))))</f>
        <v>N/A</v>
      </c>
      <c r="AF38" s="75" t="str" cm="1">
        <f t="array" aca="1" ref="AF38" ca="1">IF($B38="","",IF(ISBLANK(INDIRECT("R7.Video!D"&amp;SUM(18,38*5,19))),"",INDIRECT("R7.Video!D"&amp;SUM(18,38*5,19))))</f>
        <v>N/A</v>
      </c>
      <c r="AG38" s="75" t="str" cm="1">
        <f t="array" aca="1" ref="AG38" ca="1">IF($B38="","",IF(ISBLANK(INDIRECT("R7.Video!D"&amp;SUM(18,38*6,19))),"",INDIRECT("R7.Video!D"&amp;SUM(18,38*6,19))))</f>
        <v>N/A</v>
      </c>
      <c r="AH38" s="75" t="str" cm="1">
        <f t="array" aca="1" ref="AH38" ca="1">IF($B38="","",IF(ISBLANK(INDIRECT("R7.Video!D"&amp;SUM(18,38*7,19))),"",INDIRECT("R7.Video!D"&amp;SUM(18,38*7,19))))</f>
        <v>N/A</v>
      </c>
      <c r="AI38" s="75" t="str" cm="1">
        <f t="array" aca="1" ref="AI38" ca="1">IF($B38="","",IF(ISBLANK(INDIRECT("R7.Video!D"&amp;SUM(18,38*8,19))),"",INDIRECT("R7.Video!D"&amp;SUM(18,38*8,19))))</f>
        <v>N/A</v>
      </c>
      <c r="AJ38" s="75" t="str" cm="1">
        <f t="array" aca="1" ref="AJ38" ca="1">IF($B38="","",IF(ISBLANK(INDIRECT("R9.Web!D"&amp;SUM(18,38*0,19))),"",INDIRECT("R9.Web!D"&amp;SUM(18,38*0,19))))</f>
        <v>Pasa</v>
      </c>
      <c r="AK38" s="75" t="str" cm="1">
        <f t="array" aca="1" ref="AK38" ca="1">IF($B38="","",IF(ISBLANK(INDIRECT("R9.Web!D"&amp;SUM(18,38*1,19))),"",INDIRECT("R9.Web!D"&amp;SUM(18,38*1,19))))</f>
        <v>N/A</v>
      </c>
      <c r="AL38" s="75" t="str" cm="1">
        <f t="array" aca="1" ref="AL38" ca="1">IF($B38="","",IF(ISBLANK(INDIRECT("R9.Web!D"&amp;SUM(18,38*2,19))),"",INDIRECT("R9.Web!D"&amp;SUM(18,38*2,19))))</f>
        <v>N/A</v>
      </c>
      <c r="AM38" s="75" t="str" cm="1">
        <f t="array" aca="1" ref="AM38" ca="1">IF($B38="","",IF(ISBLANK(INDIRECT("R9.Web!D"&amp;SUM(18,38*3,19))),"",INDIRECT("R9.Web!D"&amp;SUM(18,38*3,19))))</f>
        <v>N/A</v>
      </c>
      <c r="AN38" s="75" t="str" cm="1">
        <f t="array" aca="1" ref="AN38" ca="1">IF($B38="","",IF(ISBLANK(INDIRECT("R9.Web!D"&amp;SUM(18,38*4,19))),"",INDIRECT("R9.Web!D"&amp;SUM(18,38*4,19))))</f>
        <v>N/A</v>
      </c>
      <c r="AO38" s="75" t="str" cm="1">
        <f t="array" aca="1" ref="AO38" ca="1">IF($B38="","",IF(ISBLANK(INDIRECT("R9.Web!D"&amp;SUM(18,38*5,19))),"",INDIRECT("R9.Web!D"&amp;SUM(18,38*5,19))))</f>
        <v>Falla</v>
      </c>
      <c r="AP38" s="75" t="str" cm="1">
        <f t="array" aca="1" ref="AP38" ca="1">IF($B38="","",IF(ISBLANK(INDIRECT("R9.Web!D"&amp;SUM(18,38*6,19))),"",INDIRECT("R9.Web!D"&amp;SUM(18,38*6,19))))</f>
        <v>Falla</v>
      </c>
      <c r="AQ38" s="75" t="str" cm="1">
        <f t="array" aca="1" ref="AQ38" ca="1">IF($B38="","",IF(ISBLANK(INDIRECT("R9.Web!D"&amp;SUM(18,38*7,19))),"",INDIRECT("R9.Web!D"&amp;SUM(18,38*7,19))))</f>
        <v>Falla</v>
      </c>
      <c r="AR38" s="75" t="str" cm="1">
        <f t="array" aca="1" ref="AR38" ca="1">IF($B38="","",IF(ISBLANK(INDIRECT("R9.Web!D"&amp;SUM(18,38*8,19))),"",INDIRECT("R9.Web!D"&amp;SUM(18,38*8,19))))</f>
        <v>Falla</v>
      </c>
      <c r="AS38" s="75" t="str" cm="1">
        <f t="array" aca="1" ref="AS38" ca="1">IF($B38="","",IF(ISBLANK(INDIRECT("R9.Web!D"&amp;SUM(18,38*9,19))),"",INDIRECT("R9.Web!D"&amp;SUM(18,38*9,19))))</f>
        <v>N/A</v>
      </c>
      <c r="AT38" s="75" t="str" cm="1">
        <f t="array" aca="1" ref="AT38" ca="1">IF($B38="","",IF(ISBLANK(INDIRECT("R9.Web!D"&amp;SUM(18,38*10,19))),"",INDIRECT("R9.Web!D"&amp;SUM(18,38*10,19))))</f>
        <v>Pasa</v>
      </c>
      <c r="AU38" s="75" t="str" cm="1">
        <f t="array" aca="1" ref="AU38" ca="1">IF($B38="","",IF(ISBLANK(INDIRECT("R9.Web!D"&amp;SUM(18,38*11,19))),"",INDIRECT("R9.Web!D"&amp;SUM(18,38*11,19))))</f>
        <v>N/A</v>
      </c>
      <c r="AV38" s="75" t="str" cm="1">
        <f t="array" aca="1" ref="AV38" ca="1">IF($B38="","",IF(ISBLANK(INDIRECT("R9.Web!D"&amp;SUM(18,38*12,19))),"",INDIRECT("R9.Web!D"&amp;SUM(18,38*12,19))))</f>
        <v>Pasa</v>
      </c>
      <c r="AW38" s="75" t="str" cm="1">
        <f t="array" aca="1" ref="AW38" ca="1">IF($B38="","",IF(ISBLANK(INDIRECT("R9.Web!D"&amp;SUM(18,38*13,19))),"",INDIRECT("R9.Web!D"&amp;SUM(18,38*13,19))))</f>
        <v>Falla</v>
      </c>
      <c r="AX38" s="75" t="str" cm="1">
        <f t="array" aca="1" ref="AX38" ca="1">IF($B38="","",IF(ISBLANK(INDIRECT("R9.Web!D"&amp;SUM(18,38*14,19))),"",INDIRECT("R9.Web!D"&amp;SUM(18,38*14,19))))</f>
        <v>N/A</v>
      </c>
      <c r="AY38" s="75" t="str" cm="1">
        <f t="array" aca="1" ref="AY38" ca="1">IF($B38="","",IF(ISBLANK(INDIRECT("R9.Web!D"&amp;SUM(18,38*15,19))),"",INDIRECT("R9.Web!D"&amp;SUM(18,38*15,19))))</f>
        <v>Falla</v>
      </c>
      <c r="AZ38" s="75" t="str" cm="1">
        <f t="array" aca="1" ref="AZ38" ca="1">IF($B38="","",IF(ISBLANK(INDIRECT("R9.Web!D"&amp;SUM(18,38*16,19))),"",INDIRECT("R9.Web!D"&amp;SUM(18,38*16,19))))</f>
        <v>Falla</v>
      </c>
      <c r="BA38" s="75" t="str" cm="1">
        <f t="array" aca="1" ref="BA38" ca="1">IF($B38="","",IF(ISBLANK(INDIRECT("R9.Web!D"&amp;SUM(18,38*17,19))),"",INDIRECT("R9.Web!D"&amp;SUM(18,38*17,19))))</f>
        <v>Pasa</v>
      </c>
      <c r="BB38" s="75" t="str" cm="1">
        <f t="array" aca="1" ref="BB38" ca="1">IF($B38="","",IF(ISBLANK(INDIRECT("R9.Web!D"&amp;SUM(18,38*18,19))),"",INDIRECT("R9.Web!D"&amp;SUM(18,38*18,19))))</f>
        <v>Falla</v>
      </c>
      <c r="BC38" s="75" t="str" cm="1">
        <f t="array" aca="1" ref="BC38" ca="1">IF($B38="","",IF(ISBLANK(INDIRECT("R9.Web!D"&amp;SUM(18,38*19,19))),"",INDIRECT("R9.Web!D"&amp;SUM(18,38*19,19))))</f>
        <v>Falla</v>
      </c>
      <c r="BD38" s="75" t="str" cm="1">
        <f t="array" aca="1" ref="BD38" ca="1">IF($B38="","",IF(ISBLANK(INDIRECT("R9.Web!D"&amp;SUM(18,38*20,19))),"",INDIRECT("R9.Web!D"&amp;SUM(18,38*20,19))))</f>
        <v>Pasa</v>
      </c>
      <c r="BE38" s="75" t="str" cm="1">
        <f t="array" aca="1" ref="BE38" ca="1">IF($B38="","",IF(ISBLANK(INDIRECT("R9.Web!D"&amp;SUM(18,38*21,19))),"",INDIRECT("R9.Web!D"&amp;SUM(18,38*21,19))))</f>
        <v>N/A</v>
      </c>
      <c r="BF38" s="75" t="str" cm="1">
        <f t="array" aca="1" ref="BF38" ca="1">IF($B38="","",IF(ISBLANK(INDIRECT("R9.Web!D"&amp;SUM(18,38*22,19))),"",INDIRECT("R9.Web!D"&amp;SUM(18,38*22,19))))</f>
        <v>Pasa</v>
      </c>
      <c r="BG38" s="75" t="str" cm="1">
        <f t="array" aca="1" ref="BG38" ca="1">IF($B38="","",IF(ISBLANK(INDIRECT("R9.Web!D"&amp;SUM(18,38*23,19))),"",INDIRECT("R9.Web!D"&amp;SUM(18,38*23,19))))</f>
        <v>N/A</v>
      </c>
      <c r="BH38" s="75" t="str" cm="1">
        <f t="array" aca="1" ref="BH38" ca="1">IF($B38="","",IF(ISBLANK(INDIRECT("R9.Web!D"&amp;SUM(18,38*24,19))),"",INDIRECT("R9.Web!D"&amp;SUM(18,38*24,19))))</f>
        <v>N/A</v>
      </c>
      <c r="BI38" s="75" t="str" cm="1">
        <f t="array" aca="1" ref="BI38" ca="1">IF($B38="","",IF(ISBLANK(INDIRECT("R9.Web!D"&amp;SUM(18,38*25,19))),"",INDIRECT("R9.Web!D"&amp;SUM(18,38*25,19))))</f>
        <v>Pasa</v>
      </c>
      <c r="BJ38" s="75" t="str" cm="1">
        <f t="array" aca="1" ref="BJ38" ca="1">IF($B38="","",IF(ISBLANK(INDIRECT("R9.Web!D"&amp;SUM(18,38*26,19))),"",INDIRECT("R9.Web!D"&amp;SUM(18,38*26,19))))</f>
        <v>Pasa</v>
      </c>
      <c r="BK38" s="75" t="str" cm="1">
        <f t="array" aca="1" ref="BK38" ca="1">IF($B38="","",IF(ISBLANK(INDIRECT("R9.Web!D"&amp;SUM(18,38*27,19))),"",INDIRECT("R9.Web!D"&amp;SUM(18,38*27,19))))</f>
        <v>Falla</v>
      </c>
      <c r="BL38" s="75" t="str" cm="1">
        <f t="array" aca="1" ref="BL38" ca="1">IF($B38="","",IF(ISBLANK(INDIRECT("R9.Web!D"&amp;SUM(18,38*28,19))),"",INDIRECT("R9.Web!D"&amp;SUM(18,38*28,19))))</f>
        <v>Falla</v>
      </c>
      <c r="BM38" s="75" t="str" cm="1">
        <f t="array" aca="1" ref="BM38" ca="1">IF($B38="","",IF(ISBLANK(INDIRECT("R9.Web!D"&amp;SUM(18,38*29,19))),"",INDIRECT("R9.Web!D"&amp;SUM(18,38*29,19))))</f>
        <v>Pasa</v>
      </c>
      <c r="BN38" s="75" t="str" cm="1">
        <f t="array" aca="1" ref="BN38" ca="1">IF($B38="","",IF(ISBLANK(INDIRECT("R9.Web!D"&amp;SUM(18,38*30,19))),"",INDIRECT("R9.Web!D"&amp;SUM(18,38*30,19))))</f>
        <v>Pasa</v>
      </c>
      <c r="BO38" s="75" t="str" cm="1">
        <f t="array" aca="1" ref="BO38" ca="1">IF($B38="","",IF(ISBLANK(INDIRECT("R9.Web!D"&amp;SUM(18,38*31,19))),"",INDIRECT("R9.Web!D"&amp;SUM(18,38*31,19))))</f>
        <v>Falla</v>
      </c>
      <c r="BP38" s="75" t="str" cm="1">
        <f t="array" aca="1" ref="BP38" ca="1">IF($B38="","",IF(ISBLANK(INDIRECT("R9.Web!D"&amp;SUM(18,38*32,19))),"",INDIRECT("R9.Web!D"&amp;SUM(18,38*32,19))))</f>
        <v>N/A</v>
      </c>
      <c r="BQ38" s="75" t="str" cm="1">
        <f t="array" aca="1" ref="BQ38" ca="1">IF($B38="","",IF(ISBLANK(INDIRECT("R9.Web!D"&amp;SUM(18,38*33,19))),"",INDIRECT("R9.Web!D"&amp;SUM(18,38*33,19))))</f>
        <v>Pasa</v>
      </c>
      <c r="BR38" s="75" t="str" cm="1">
        <f t="array" aca="1" ref="BR38" ca="1">IF($B38="","",IF(ISBLANK(INDIRECT("R9.Web!D"&amp;SUM(18,38*34,19))),"",INDIRECT("R9.Web!D"&amp;SUM(18,38*34,19))))</f>
        <v>Falla</v>
      </c>
      <c r="BS38" s="75" t="str" cm="1">
        <f t="array" aca="1" ref="BS38" ca="1">IF($B38="","",IF(ISBLANK(INDIRECT("R9.Web!D"&amp;SUM(18,38*35,19))),"",INDIRECT("R9.Web!D"&amp;SUM(18,38*35,19))))</f>
        <v>N/A</v>
      </c>
      <c r="BT38" s="75" t="str" cm="1">
        <f t="array" aca="1" ref="BT38" ca="1">IF($B38="","",IF(ISBLANK(INDIRECT("R9.Web!D"&amp;SUM(18,38*36,19))),"",INDIRECT("R9.Web!D"&amp;SUM(18,38*36,19))))</f>
        <v>Pasa</v>
      </c>
      <c r="BU38" s="75" t="str" cm="1">
        <f t="array" aca="1" ref="BU38" ca="1">IF($B38="","",IF(ISBLANK(INDIRECT("R9.Web!D"&amp;SUM(18,38*37,19))),"",INDIRECT("R9.Web!D"&amp;SUM(18,38*37,19))))</f>
        <v>N/A</v>
      </c>
      <c r="BV38" s="75" t="str" cm="1">
        <f t="array" aca="1" ref="BV38" ca="1">IF($B38="","",IF(ISBLANK(INDIRECT("R9.Web!D"&amp;SUM(18,38*38,19))),"",INDIRECT("R9.Web!D"&amp;SUM(18,38*38,19))))</f>
        <v>Pasa</v>
      </c>
      <c r="BW38" s="75" t="str" cm="1">
        <f t="array" aca="1" ref="BW38" ca="1">IF($B38="","",IF(ISBLANK(INDIRECT("R9.Web!D"&amp;SUM(18,38*39,19))),"",INDIRECT("R9.Web!D"&amp;SUM(18,38*39,19))))</f>
        <v>Pasa</v>
      </c>
      <c r="BX38" s="75" t="str" cm="1">
        <f t="array" aca="1" ref="BX38" ca="1">IF($B38="","",IF(ISBLANK(INDIRECT("R9.Web!D"&amp;SUM(18,38*40,19))),"",INDIRECT("R9.Web!D"&amp;SUM(18,38*40,19))))</f>
        <v>Pasa</v>
      </c>
      <c r="BY38" s="75" t="str" cm="1">
        <f t="array" aca="1" ref="BY38" ca="1">IF($B38="","",IF(ISBLANK(INDIRECT("R9.Web!D"&amp;SUM(18,38*41,19))),"",INDIRECT("R9.Web!D"&amp;SUM(18,38*41,19))))</f>
        <v>Pasa</v>
      </c>
      <c r="BZ38" s="75" t="str" cm="1">
        <f t="array" aca="1" ref="BZ38" ca="1">IF($B38="","",IF(ISBLANK(INDIRECT("R9.Web!D"&amp;SUM(18,38*42,19))),"",INDIRECT("R9.Web!D"&amp;SUM(18,38*42,19))))</f>
        <v>N/A</v>
      </c>
      <c r="CA38" s="75" t="str" cm="1">
        <f t="array" aca="1" ref="CA38" ca="1">IF($B38="","",IF(ISBLANK(INDIRECT("R9.Web!D"&amp;SUM(18,38*43,19))),"",INDIRECT("R9.Web!D"&amp;SUM(18,38*43,19))))</f>
        <v>Pasa</v>
      </c>
      <c r="CB38" s="75" t="str" cm="1">
        <f t="array" aca="1" ref="CB38" ca="1">IF($B38="","",IF(ISBLANK(INDIRECT("R9.Web!D"&amp;SUM(18,38*44,19))),"",INDIRECT("R9.Web!D"&amp;SUM(18,38*44,19))))</f>
        <v>N/A</v>
      </c>
      <c r="CC38" s="75" t="str" cm="1">
        <f t="array" aca="1" ref="CC38" ca="1">IF($B38="","",IF(ISBLANK(INDIRECT("R9.Web!D"&amp;SUM(18,38*45,19))),"",INDIRECT("R9.Web!D"&amp;SUM(18,38*45,19))))</f>
        <v>N/A</v>
      </c>
      <c r="CD38" s="75" t="str" cm="1">
        <f t="array" aca="1" ref="CD38" ca="1">IF($B38="","",IF(ISBLANK(INDIRECT("R9.Web!D"&amp;SUM(18,38*46,19))),"",INDIRECT("R9.Web!D"&amp;SUM(18,38*46,19))))</f>
        <v>N/A</v>
      </c>
      <c r="CE38" s="75" t="str" cm="1">
        <f t="array" aca="1" ref="CE38" ca="1">IF($B38="","",IF(ISBLANK(INDIRECT("R9.Web!D"&amp;SUM(18,38*47,19))),"",INDIRECT("R9.Web!D"&amp;SUM(18,38*47,19))))</f>
        <v>Pasa</v>
      </c>
      <c r="CF38" s="75" t="str" cm="1">
        <f t="array" aca="1" ref="CF38" ca="1">IF($B38="","",IF(ISBLANK(INDIRECT("R9.Web!D"&amp;SUM(18,38*48,19))),"",INDIRECT("R9.Web!D"&amp;SUM(18,38*48,19))))</f>
        <v>N/A</v>
      </c>
      <c r="CG38" s="75" t="str" cm="1">
        <f t="array" aca="1" ref="CG38" ca="1">IF($B38="","",IF(ISBLANK(INDIRECT("R9.Web!D"&amp;SUM(18,38*49,19))),"",INDIRECT("R9.Web!D"&amp;SUM(18,38*49,19))))</f>
        <v>Falla</v>
      </c>
      <c r="CH38" s="75" t="str" cm="1">
        <f t="array" aca="1" ref="CH38" ca="1">IF($B38="","",IF(ISBLANK(INDIRECT("R11.Software!D"&amp;SUM(18,38*0,19))),"",INDIRECT("R11.Software!D"&amp;SUM(18,38*0,19))))</f>
        <v>Falla</v>
      </c>
      <c r="CI38" s="75" t="str" cm="1">
        <f t="array" aca="1" ref="CI38" ca="1">IF($B38="","",IF(ISBLANK(INDIRECT("R11.Software!D"&amp;SUM(18,38*1,19))),"",INDIRECT("R11.Software!D"&amp;SUM(18,38*1,19))))</f>
        <v>N/A</v>
      </c>
      <c r="CJ38" s="75" t="str" cm="1">
        <f t="array" aca="1" ref="CJ38" ca="1">IF($B38="","",IF(ISBLANK(INDIRECT("R11.Software!D"&amp;SUM(18,38*2,19))),"",INDIRECT("R11.Software!D"&amp;SUM(18,38*2,19))))</f>
        <v>N/A</v>
      </c>
      <c r="CK38" s="75" t="str" cm="1">
        <f t="array" aca="1" ref="CK38" ca="1">IF($B38="","",IF(ISBLANK(INDIRECT("R11.Software!D"&amp;SUM(18,38*3,19))),"",INDIRECT("R11.Software!D"&amp;SUM(18,38*3,19))))</f>
        <v>N/A</v>
      </c>
      <c r="CL38" s="75" t="str" cm="1">
        <f t="array" aca="1" ref="CL38" ca="1">IF($B38="","",IF(ISBLANK(INDIRECT("R11.Software!D"&amp;SUM(18,38*4,19))),"",INDIRECT("R11.Software!D"&amp;SUM(18,38*4,19))))</f>
        <v>N/A</v>
      </c>
      <c r="CM38" s="75" t="str" cm="1">
        <f t="array" aca="1" ref="CM38" ca="1">IF($B38="","",IF(ISBLANK(INDIRECT("R11.Software!D"&amp;SUM(18,38*5,19))),"",INDIRECT("R11.Software!D"&amp;SUM(18,38*5,19))))</f>
        <v>N/A</v>
      </c>
      <c r="CN38" s="75" t="str" cm="1">
        <f t="array" aca="1" ref="CN38" ca="1">IF($B38="","",IF(ISBLANK(INDIRECT("R12.ServiciosApoyo!D"&amp;SUM(18,38*0,19))),"",INDIRECT("R12.ServiciosApoyo!D"&amp;SUM(18,38*0,19))))</f>
        <v>N/A</v>
      </c>
      <c r="CO38" s="75" t="str" cm="1">
        <f t="array" aca="1" ref="CO38" ca="1">IF($B38="","",IF(ISBLANK(INDIRECT("R12.ServiciosApoyo!D"&amp;SUM(18,38*1,19))),"",INDIRECT("R12.ServiciosApoyo!D"&amp;SUM(18,38*1,19))))</f>
        <v>N/A</v>
      </c>
      <c r="CP38" s="75" t="str" cm="1">
        <f t="array" aca="1" ref="CP38" ca="1">IF($B38="","",IF(ISBLANK(INDIRECT("R12.ServiciosApoyo!D"&amp;SUM(18,38*2,19))),"",INDIRECT("R12.ServiciosApoyo!D"&amp;SUM(18,38*2,19))))</f>
        <v>N/A</v>
      </c>
      <c r="CQ38" s="75" t="str" cm="1">
        <f t="array" aca="1" ref="CQ38" ca="1">IF($B38="","",IF(ISBLANK(INDIRECT("R12.ServiciosApoyo!D"&amp;SUM(18,38*3,19))),"",INDIRECT("R12.ServiciosApoyo!D"&amp;SUM(18,38*3,19))))</f>
        <v>N/A</v>
      </c>
      <c r="CR38" s="75" t="str" cm="1">
        <f t="array" aca="1" ref="CR38" ca="1">IF($B38="","",IF(ISBLANK(INDIRECT("R12.ServiciosApoyo!D"&amp;SUM(18,38*4,19))),"",INDIRECT("R12.ServiciosApoyo!D"&amp;SUM(18,38*4,19))))</f>
        <v>N/A</v>
      </c>
      <c r="CU38" s="76"/>
    </row>
    <row r="39" spans="2:99" ht="20.5">
      <c r="B39" s="39" cm="1">
        <f t="array" ref="B39">IFERROR(INDEX('03.Muestra'!$B$8:$B$42,SMALL(IF("Página Web"='03.Muestra'!$D$8:$D$42,ROW('03.Muestra'!$B$8:$B$42)-MIN(ROW('03.Muestra'!$D$8:$D$42))+1,""),ROW()-19)),"")</f>
        <v>20</v>
      </c>
      <c r="C39" s="73" t="str" cm="1">
        <f t="array" ref="C39">IFERROR(INDEX('03.Muestra'!$C$8:$C$42,SMALL(IF("Página Web"='03.Muestra'!$D$8:$D$42,ROW('03.Muestra'!$C$8:$C$42)-MIN(ROW('03.Muestra'!$D$8:$D$42))+1,""),ROW()-19)),"")</f>
        <v>Declaracion Accesibilidad</v>
      </c>
      <c r="D39" s="74" t="str" cm="1">
        <f t="array" ref="D39">IFERROR(INDEX('03.Muestra'!$F$8:$F$42,SMALL(IF("Página Web"='03.Muestra'!$D$8:$D$42,ROW('03.Muestra'!$F$8:$F$42)-MIN(ROW('03.Muestra'!$D$8:$D$42))+1,""),ROW()-19)),"")</f>
        <v>https://elecciones.comunidad.madrid/es/accesibilidad</v>
      </c>
      <c r="E39" s="75" t="str" cm="1">
        <f t="array" aca="1" ref="E39" ca="1">IF($B39="","",IF(ISBLANK(INDIRECT("R5.Genéricos!D"&amp;SUM(18,38*0,20))),"",INDIRECT("R5.Genéricos!D"&amp;SUM(18,38*0,20))))</f>
        <v>Falla</v>
      </c>
      <c r="F39" s="75" t="str" cm="1">
        <f t="array" aca="1" ref="F39" ca="1">IF($B39="","",IF(ISBLANK(INDIRECT("R5.Genéricos!D"&amp;SUM(18,38*1,20))),"",INDIRECT("R5.Genéricos!D"&amp;SUM(18,38*1,20))))</f>
        <v>N/A</v>
      </c>
      <c r="G39" s="75" t="str" cm="1">
        <f t="array" aca="1" ref="G39" ca="1">IF($B39="","",IF(ISBLANK(INDIRECT("R5.Genéricos!D"&amp;SUM(18,38*2,20))),"",INDIRECT("R5.Genéricos!D"&amp;SUM(18,38*2,20))))</f>
        <v>N/A</v>
      </c>
      <c r="H39" s="75" t="str" cm="1">
        <f t="array" aca="1" ref="H39" ca="1">IF($B39="","",IF(ISBLANK(INDIRECT("R6.Voz!D"&amp;SUM(18,38*0,20))),"",INDIRECT("R6.Voz!D"&amp;SUM(18,38*0,20))))</f>
        <v>N/A</v>
      </c>
      <c r="I39" s="75" t="str" cm="1">
        <f t="array" aca="1" ref="I39" ca="1">IF($B39="","",IF(ISBLANK(INDIRECT("R6.Voz!D"&amp;SUM(18,38*1,20))),"",INDIRECT("R6.Voz!D"&amp;SUM(18,38*1,20))))</f>
        <v>N/A</v>
      </c>
      <c r="J39" s="75" t="str" cm="1">
        <f t="array" aca="1" ref="J39" ca="1">IF($B39="","",IF(ISBLANK(INDIRECT("R6.Voz!D"&amp;SUM(18,38*2,20))),"",INDIRECT("R6.Voz!D"&amp;SUM(18,38*2,20))))</f>
        <v>N/A</v>
      </c>
      <c r="K39" s="75" t="str" cm="1">
        <f t="array" aca="1" ref="K39" ca="1">IF($B39="","",IF(ISBLANK(INDIRECT("R6.Voz!D"&amp;SUM(18,38*3,20))),"",INDIRECT("R6.Voz!D"&amp;SUM(18,38*3,20))))</f>
        <v>N/A</v>
      </c>
      <c r="L39" s="75" t="str" cm="1">
        <f t="array" aca="1" ref="L39" ca="1">IF($B39="","",IF(ISBLANK(INDIRECT("R6.Voz!D"&amp;SUM(18,38*4,20))),"",INDIRECT("R6.Voz!D"&amp;SUM(18,38*4,20))))</f>
        <v>N/A</v>
      </c>
      <c r="M39" s="75" t="str" cm="1">
        <f t="array" aca="1" ref="M39" ca="1">IF($B39="","",IF(ISBLANK(INDIRECT("R6.Voz!D"&amp;SUM(18,38*5,20))),"",INDIRECT("R6.Voz!D"&amp;SUM(18,38*5,20))))</f>
        <v>N/A</v>
      </c>
      <c r="N39" s="75" t="str" cm="1">
        <f t="array" aca="1" ref="N39" ca="1">IF($B39="","",IF(ISBLANK(INDIRECT("R6.Voz!D"&amp;SUM(18,38*6,20))),"",INDIRECT("R6.Voz!D"&amp;SUM(18,38*6,20))))</f>
        <v>N/A</v>
      </c>
      <c r="O39" s="75" t="str" cm="1">
        <f t="array" aca="1" ref="O39" ca="1">IF($B39="","",IF(ISBLANK(INDIRECT("R6.Voz!D"&amp;SUM(18,38*7,20))),"",INDIRECT("R6.Voz!D"&amp;SUM(18,38*7,20))))</f>
        <v>N/A</v>
      </c>
      <c r="P39" s="75" t="str" cm="1">
        <f t="array" aca="1" ref="P39" ca="1">IF($B39="","",IF(ISBLANK(INDIRECT("R6.Voz!D"&amp;SUM(18,38*8,20))),"",INDIRECT("R6.Voz!D"&amp;SUM(18,38*8,20))))</f>
        <v>N/A</v>
      </c>
      <c r="Q39" s="75" t="str" cm="1">
        <f t="array" aca="1" ref="Q39" ca="1">IF($B39="","",IF(ISBLANK(INDIRECT("R6.Voz!D"&amp;SUM(18,38*9,20))),"",INDIRECT("R6.Voz!D"&amp;SUM(18,38*9,20))))</f>
        <v>N/A</v>
      </c>
      <c r="R39" s="75" t="str" cm="1">
        <f t="array" aca="1" ref="R39" ca="1">IF($B39="","",IF(ISBLANK(INDIRECT("R6.Voz!D"&amp;SUM(18,38*10,20))),"",INDIRECT("R6.Voz!D"&amp;SUM(18,38*10,20))))</f>
        <v>N/A</v>
      </c>
      <c r="S39" s="75" t="str" cm="1">
        <f t="array" aca="1" ref="S39" ca="1">IF($B39="","",IF(ISBLANK(INDIRECT("R6.Voz!D"&amp;SUM(18,38*11,20))),"",INDIRECT("R6.Voz!D"&amp;SUM(18,38*11,20))))</f>
        <v>N/A</v>
      </c>
      <c r="T39" s="75" t="str" cm="1">
        <f t="array" aca="1" ref="T39" ca="1">IF($B39="","",IF(ISBLANK(INDIRECT("R6.Voz!D"&amp;SUM(18,38*12,20))),"",INDIRECT("R6.Voz!D"&amp;SUM(18,38*12,20))))</f>
        <v>N/A</v>
      </c>
      <c r="U39" s="75" t="str" cm="1">
        <f t="array" aca="1" ref="U39" ca="1">IF($B39="","",IF(ISBLANK(INDIRECT("R6.Voz!D"&amp;SUM(18,38*13,20))),"",INDIRECT("R6.Voz!D"&amp;SUM(18,38*13,20))))</f>
        <v>N/A</v>
      </c>
      <c r="V39" s="75" t="str" cm="1">
        <f t="array" aca="1" ref="V39" ca="1">IF($B39="","",IF(ISBLANK(INDIRECT("R6.Voz!D"&amp;SUM(18,38*14,20))),"",INDIRECT("R6.Voz!D"&amp;SUM(18,38*14,20))))</f>
        <v>N/A</v>
      </c>
      <c r="W39" s="75" t="str" cm="1">
        <f t="array" aca="1" ref="W39" ca="1">IF($B39="","",IF(ISBLANK(INDIRECT("R6.Voz!D"&amp;SUM(18,38*15,20))),"",INDIRECT("R6.Voz!D"&amp;SUM(18,38*15,20))))</f>
        <v>N/A</v>
      </c>
      <c r="X39" s="75" t="str" cm="1">
        <f t="array" aca="1" ref="X39" ca="1">IF($B39="","",IF(ISBLANK(INDIRECT("R6.Voz!D"&amp;SUM(18,38*16,20))),"",INDIRECT("R6.Voz!D"&amp;SUM(18,38*16,20))))</f>
        <v>N/A</v>
      </c>
      <c r="Y39" s="75" t="str" cm="1">
        <f t="array" aca="1" ref="Y39" ca="1">IF($B39="","",IF(ISBLANK(INDIRECT("R6.Voz!D"&amp;SUM(18,38*17,20))),"",INDIRECT("R6.Voz!D"&amp;SUM(18,38*17,20))))</f>
        <v>N/A</v>
      </c>
      <c r="Z39" s="75" t="str" cm="1">
        <f t="array" aca="1" ref="Z39" ca="1">IF($B39="","",IF(ISBLANK(INDIRECT("R6.Voz!D"&amp;SUM(18,38*18,20))),"",INDIRECT("R6.Voz!D"&amp;SUM(18,38*18,20))))</f>
        <v>N/A</v>
      </c>
      <c r="AA39" s="75" t="str" cm="1">
        <f t="array" aca="1" ref="AA39" ca="1">IF($B39="","",IF(ISBLANK(INDIRECT("R7.Video!D"&amp;SUM(18,38*0,20))),"",INDIRECT("R7.Video!D"&amp;SUM(18,38*0,20))))</f>
        <v>N/A</v>
      </c>
      <c r="AB39" s="75" t="str" cm="1">
        <f t="array" aca="1" ref="AB39" ca="1">IF($B39="","",IF(ISBLANK(INDIRECT("R7.Video!D"&amp;SUM(18,38*1,20))),"",INDIRECT("R7.Video!D"&amp;SUM(18,38*1,20))))</f>
        <v>N/A</v>
      </c>
      <c r="AC39" s="75" t="str" cm="1">
        <f t="array" aca="1" ref="AC39" ca="1">IF($B39="","",IF(ISBLANK(INDIRECT("R7.Video!D"&amp;SUM(18,38*2,20))),"",INDIRECT("R7.Video!D"&amp;SUM(18,38*2,20))))</f>
        <v>N/A</v>
      </c>
      <c r="AD39" s="75" t="str" cm="1">
        <f t="array" aca="1" ref="AD39" ca="1">IF($B39="","",IF(ISBLANK(INDIRECT("R7.Video!D"&amp;SUM(18,38*3,20))),"",INDIRECT("R7.Video!D"&amp;SUM(18,38*3,20))))</f>
        <v>N/A</v>
      </c>
      <c r="AE39" s="75" t="str" cm="1">
        <f t="array" aca="1" ref="AE39" ca="1">IF($B39="","",IF(ISBLANK(INDIRECT("R7.Video!D"&amp;SUM(18,38*4,20))),"",INDIRECT("R7.Video!D"&amp;SUM(18,38*4,20))))</f>
        <v>N/A</v>
      </c>
      <c r="AF39" s="75" t="str" cm="1">
        <f t="array" aca="1" ref="AF39" ca="1">IF($B39="","",IF(ISBLANK(INDIRECT("R7.Video!D"&amp;SUM(18,38*5,20))),"",INDIRECT("R7.Video!D"&amp;SUM(18,38*5,20))))</f>
        <v>N/A</v>
      </c>
      <c r="AG39" s="75" t="str" cm="1">
        <f t="array" aca="1" ref="AG39" ca="1">IF($B39="","",IF(ISBLANK(INDIRECT("R7.Video!D"&amp;SUM(18,38*6,20))),"",INDIRECT("R7.Video!D"&amp;SUM(18,38*6,20))))</f>
        <v>N/A</v>
      </c>
      <c r="AH39" s="75" t="str" cm="1">
        <f t="array" aca="1" ref="AH39" ca="1">IF($B39="","",IF(ISBLANK(INDIRECT("R7.Video!D"&amp;SUM(18,38*7,20))),"",INDIRECT("R7.Video!D"&amp;SUM(18,38*7,20))))</f>
        <v>N/A</v>
      </c>
      <c r="AI39" s="75" t="str" cm="1">
        <f t="array" aca="1" ref="AI39" ca="1">IF($B39="","",IF(ISBLANK(INDIRECT("R7.Video!D"&amp;SUM(18,38*8,20))),"",INDIRECT("R7.Video!D"&amp;SUM(18,38*8,20))))</f>
        <v>N/A</v>
      </c>
      <c r="AJ39" s="75" t="str" cm="1">
        <f t="array" aca="1" ref="AJ39" ca="1">IF($B39="","",IF(ISBLANK(INDIRECT("R9.Web!D"&amp;SUM(18,38*0,20))),"",INDIRECT("R9.Web!D"&amp;SUM(18,38*0,20))))</f>
        <v>Pasa</v>
      </c>
      <c r="AK39" s="75" t="str" cm="1">
        <f t="array" aca="1" ref="AK39" ca="1">IF($B39="","",IF(ISBLANK(INDIRECT("R9.Web!D"&amp;SUM(18,38*1,20))),"",INDIRECT("R9.Web!D"&amp;SUM(18,38*1,20))))</f>
        <v>N/A</v>
      </c>
      <c r="AL39" s="75" t="str" cm="1">
        <f t="array" aca="1" ref="AL39" ca="1">IF($B39="","",IF(ISBLANK(INDIRECT("R9.Web!D"&amp;SUM(18,38*2,20))),"",INDIRECT("R9.Web!D"&amp;SUM(18,38*2,20))))</f>
        <v>N/A</v>
      </c>
      <c r="AM39" s="75" t="str" cm="1">
        <f t="array" aca="1" ref="AM39" ca="1">IF($B39="","",IF(ISBLANK(INDIRECT("R9.Web!D"&amp;SUM(18,38*3,20))),"",INDIRECT("R9.Web!D"&amp;SUM(18,38*3,20))))</f>
        <v>N/A</v>
      </c>
      <c r="AN39" s="75" t="str" cm="1">
        <f t="array" aca="1" ref="AN39" ca="1">IF($B39="","",IF(ISBLANK(INDIRECT("R9.Web!D"&amp;SUM(18,38*4,20))),"",INDIRECT("R9.Web!D"&amp;SUM(18,38*4,20))))</f>
        <v>N/A</v>
      </c>
      <c r="AO39" s="75" t="str" cm="1">
        <f t="array" aca="1" ref="AO39" ca="1">IF($B39="","",IF(ISBLANK(INDIRECT("R9.Web!D"&amp;SUM(18,38*5,20))),"",INDIRECT("R9.Web!D"&amp;SUM(18,38*5,20))))</f>
        <v>Falla</v>
      </c>
      <c r="AP39" s="75" t="str" cm="1">
        <f t="array" aca="1" ref="AP39" ca="1">IF($B39="","",IF(ISBLANK(INDIRECT("R9.Web!D"&amp;SUM(18,38*6,20))),"",INDIRECT("R9.Web!D"&amp;SUM(18,38*6,20))))</f>
        <v>Falla</v>
      </c>
      <c r="AQ39" s="75" t="str" cm="1">
        <f t="array" aca="1" ref="AQ39" ca="1">IF($B39="","",IF(ISBLANK(INDIRECT("R9.Web!D"&amp;SUM(18,38*7,20))),"",INDIRECT("R9.Web!D"&amp;SUM(18,38*7,20))))</f>
        <v>Falla</v>
      </c>
      <c r="AR39" s="75" t="str" cm="1">
        <f t="array" aca="1" ref="AR39" ca="1">IF($B39="","",IF(ISBLANK(INDIRECT("R9.Web!D"&amp;SUM(18,38*8,20))),"",INDIRECT("R9.Web!D"&amp;SUM(18,38*8,20))))</f>
        <v>Falla</v>
      </c>
      <c r="AS39" s="75" t="str" cm="1">
        <f t="array" aca="1" ref="AS39" ca="1">IF($B39="","",IF(ISBLANK(INDIRECT("R9.Web!D"&amp;SUM(18,38*9,20))),"",INDIRECT("R9.Web!D"&amp;SUM(18,38*9,20))))</f>
        <v>N/A</v>
      </c>
      <c r="AT39" s="75" t="str" cm="1">
        <f t="array" aca="1" ref="AT39" ca="1">IF($B39="","",IF(ISBLANK(INDIRECT("R9.Web!D"&amp;SUM(18,38*10,20))),"",INDIRECT("R9.Web!D"&amp;SUM(18,38*10,20))))</f>
        <v>Pasa</v>
      </c>
      <c r="AU39" s="75" t="str" cm="1">
        <f t="array" aca="1" ref="AU39" ca="1">IF($B39="","",IF(ISBLANK(INDIRECT("R9.Web!D"&amp;SUM(18,38*11,20))),"",INDIRECT("R9.Web!D"&amp;SUM(18,38*11,20))))</f>
        <v>N/A</v>
      </c>
      <c r="AV39" s="75" t="str" cm="1">
        <f t="array" aca="1" ref="AV39" ca="1">IF($B39="","",IF(ISBLANK(INDIRECT("R9.Web!D"&amp;SUM(18,38*12,20))),"",INDIRECT("R9.Web!D"&amp;SUM(18,38*12,20))))</f>
        <v>Pasa</v>
      </c>
      <c r="AW39" s="75" t="str" cm="1">
        <f t="array" aca="1" ref="AW39" ca="1">IF($B39="","",IF(ISBLANK(INDIRECT("R9.Web!D"&amp;SUM(18,38*13,20))),"",INDIRECT("R9.Web!D"&amp;SUM(18,38*13,20))))</f>
        <v>Falla</v>
      </c>
      <c r="AX39" s="75" t="str" cm="1">
        <f t="array" aca="1" ref="AX39" ca="1">IF($B39="","",IF(ISBLANK(INDIRECT("R9.Web!D"&amp;SUM(18,38*14,20))),"",INDIRECT("R9.Web!D"&amp;SUM(18,38*14,20))))</f>
        <v>N/A</v>
      </c>
      <c r="AY39" s="75" t="str" cm="1">
        <f t="array" aca="1" ref="AY39" ca="1">IF($B39="","",IF(ISBLANK(INDIRECT("R9.Web!D"&amp;SUM(18,38*15,20))),"",INDIRECT("R9.Web!D"&amp;SUM(18,38*15,20))))</f>
        <v>Falla</v>
      </c>
      <c r="AZ39" s="75" t="str" cm="1">
        <f t="array" aca="1" ref="AZ39" ca="1">IF($B39="","",IF(ISBLANK(INDIRECT("R9.Web!D"&amp;SUM(18,38*16,20))),"",INDIRECT("R9.Web!D"&amp;SUM(18,38*16,20))))</f>
        <v>Falla</v>
      </c>
      <c r="BA39" s="75" t="str" cm="1">
        <f t="array" aca="1" ref="BA39" ca="1">IF($B39="","",IF(ISBLANK(INDIRECT("R9.Web!D"&amp;SUM(18,38*17,20))),"",INDIRECT("R9.Web!D"&amp;SUM(18,38*17,20))))</f>
        <v>Pasa</v>
      </c>
      <c r="BB39" s="75" t="str" cm="1">
        <f t="array" aca="1" ref="BB39" ca="1">IF($B39="","",IF(ISBLANK(INDIRECT("R9.Web!D"&amp;SUM(18,38*18,20))),"",INDIRECT("R9.Web!D"&amp;SUM(18,38*18,20))))</f>
        <v>Falla</v>
      </c>
      <c r="BC39" s="75" t="str" cm="1">
        <f t="array" aca="1" ref="BC39" ca="1">IF($B39="","",IF(ISBLANK(INDIRECT("R9.Web!D"&amp;SUM(18,38*19,20))),"",INDIRECT("R9.Web!D"&amp;SUM(18,38*19,20))))</f>
        <v>Falla</v>
      </c>
      <c r="BD39" s="75" t="str" cm="1">
        <f t="array" aca="1" ref="BD39" ca="1">IF($B39="","",IF(ISBLANK(INDIRECT("R9.Web!D"&amp;SUM(18,38*20,20))),"",INDIRECT("R9.Web!D"&amp;SUM(18,38*20,20))))</f>
        <v>Pasa</v>
      </c>
      <c r="BE39" s="75" t="str" cm="1">
        <f t="array" aca="1" ref="BE39" ca="1">IF($B39="","",IF(ISBLANK(INDIRECT("R9.Web!D"&amp;SUM(18,38*21,20))),"",INDIRECT("R9.Web!D"&amp;SUM(18,38*21,20))))</f>
        <v>N/A</v>
      </c>
      <c r="BF39" s="75" t="str" cm="1">
        <f t="array" aca="1" ref="BF39" ca="1">IF($B39="","",IF(ISBLANK(INDIRECT("R9.Web!D"&amp;SUM(18,38*22,20))),"",INDIRECT("R9.Web!D"&amp;SUM(18,38*22,20))))</f>
        <v>Pasa</v>
      </c>
      <c r="BG39" s="75" t="str" cm="1">
        <f t="array" aca="1" ref="BG39" ca="1">IF($B39="","",IF(ISBLANK(INDIRECT("R9.Web!D"&amp;SUM(18,38*23,20))),"",INDIRECT("R9.Web!D"&amp;SUM(18,38*23,20))))</f>
        <v>N/A</v>
      </c>
      <c r="BH39" s="75" t="str" cm="1">
        <f t="array" aca="1" ref="BH39" ca="1">IF($B39="","",IF(ISBLANK(INDIRECT("R9.Web!D"&amp;SUM(18,38*24,20))),"",INDIRECT("R9.Web!D"&amp;SUM(18,38*24,20))))</f>
        <v>N/A</v>
      </c>
      <c r="BI39" s="75" t="str" cm="1">
        <f t="array" aca="1" ref="BI39" ca="1">IF($B39="","",IF(ISBLANK(INDIRECT("R9.Web!D"&amp;SUM(18,38*25,20))),"",INDIRECT("R9.Web!D"&amp;SUM(18,38*25,20))))</f>
        <v>Pasa</v>
      </c>
      <c r="BJ39" s="75" t="str" cm="1">
        <f t="array" aca="1" ref="BJ39" ca="1">IF($B39="","",IF(ISBLANK(INDIRECT("R9.Web!D"&amp;SUM(18,38*26,20))),"",INDIRECT("R9.Web!D"&amp;SUM(18,38*26,20))))</f>
        <v>Pasa</v>
      </c>
      <c r="BK39" s="75" t="str" cm="1">
        <f t="array" aca="1" ref="BK39" ca="1">IF($B39="","",IF(ISBLANK(INDIRECT("R9.Web!D"&amp;SUM(18,38*27,20))),"",INDIRECT("R9.Web!D"&amp;SUM(18,38*27,20))))</f>
        <v>Falla</v>
      </c>
      <c r="BL39" s="75" t="str" cm="1">
        <f t="array" aca="1" ref="BL39" ca="1">IF($B39="","",IF(ISBLANK(INDIRECT("R9.Web!D"&amp;SUM(18,38*28,20))),"",INDIRECT("R9.Web!D"&amp;SUM(18,38*28,20))))</f>
        <v>Falla</v>
      </c>
      <c r="BM39" s="75" t="str" cm="1">
        <f t="array" aca="1" ref="BM39" ca="1">IF($B39="","",IF(ISBLANK(INDIRECT("R9.Web!D"&amp;SUM(18,38*29,20))),"",INDIRECT("R9.Web!D"&amp;SUM(18,38*29,20))))</f>
        <v>Pasa</v>
      </c>
      <c r="BN39" s="75" t="str" cm="1">
        <f t="array" aca="1" ref="BN39" ca="1">IF($B39="","",IF(ISBLANK(INDIRECT("R9.Web!D"&amp;SUM(18,38*30,20))),"",INDIRECT("R9.Web!D"&amp;SUM(18,38*30,20))))</f>
        <v>Pasa</v>
      </c>
      <c r="BO39" s="75" t="str" cm="1">
        <f t="array" aca="1" ref="BO39" ca="1">IF($B39="","",IF(ISBLANK(INDIRECT("R9.Web!D"&amp;SUM(18,38*31,20))),"",INDIRECT("R9.Web!D"&amp;SUM(18,38*31,20))))</f>
        <v>Falla</v>
      </c>
      <c r="BP39" s="75" t="str" cm="1">
        <f t="array" aca="1" ref="BP39" ca="1">IF($B39="","",IF(ISBLANK(INDIRECT("R9.Web!D"&amp;SUM(18,38*32,20))),"",INDIRECT("R9.Web!D"&amp;SUM(18,38*32,20))))</f>
        <v>N/A</v>
      </c>
      <c r="BQ39" s="75" t="str" cm="1">
        <f t="array" aca="1" ref="BQ39" ca="1">IF($B39="","",IF(ISBLANK(INDIRECT("R9.Web!D"&amp;SUM(18,38*33,20))),"",INDIRECT("R9.Web!D"&amp;SUM(18,38*33,20))))</f>
        <v>Pasa</v>
      </c>
      <c r="BR39" s="75" t="str" cm="1">
        <f t="array" aca="1" ref="BR39" ca="1">IF($B39="","",IF(ISBLANK(INDIRECT("R9.Web!D"&amp;SUM(18,38*34,20))),"",INDIRECT("R9.Web!D"&amp;SUM(18,38*34,20))))</f>
        <v>Falla</v>
      </c>
      <c r="BS39" s="75" t="str" cm="1">
        <f t="array" aca="1" ref="BS39" ca="1">IF($B39="","",IF(ISBLANK(INDIRECT("R9.Web!D"&amp;SUM(18,38*35,20))),"",INDIRECT("R9.Web!D"&amp;SUM(18,38*35,20))))</f>
        <v>N/A</v>
      </c>
      <c r="BT39" s="75" t="str" cm="1">
        <f t="array" aca="1" ref="BT39" ca="1">IF($B39="","",IF(ISBLANK(INDIRECT("R9.Web!D"&amp;SUM(18,38*36,20))),"",INDIRECT("R9.Web!D"&amp;SUM(18,38*36,20))))</f>
        <v>Pasa</v>
      </c>
      <c r="BU39" s="75" t="str" cm="1">
        <f t="array" aca="1" ref="BU39" ca="1">IF($B39="","",IF(ISBLANK(INDIRECT("R9.Web!D"&amp;SUM(18,38*37,20))),"",INDIRECT("R9.Web!D"&amp;SUM(18,38*37,20))))</f>
        <v>N/A</v>
      </c>
      <c r="BV39" s="75" t="str" cm="1">
        <f t="array" aca="1" ref="BV39" ca="1">IF($B39="","",IF(ISBLANK(INDIRECT("R9.Web!D"&amp;SUM(18,38*38,20))),"",INDIRECT("R9.Web!D"&amp;SUM(18,38*38,20))))</f>
        <v>Pasa</v>
      </c>
      <c r="BW39" s="75" t="str" cm="1">
        <f t="array" aca="1" ref="BW39" ca="1">IF($B39="","",IF(ISBLANK(INDIRECT("R9.Web!D"&amp;SUM(18,38*39,20))),"",INDIRECT("R9.Web!D"&amp;SUM(18,38*39,20))))</f>
        <v>Pasa</v>
      </c>
      <c r="BX39" s="75" t="str" cm="1">
        <f t="array" aca="1" ref="BX39" ca="1">IF($B39="","",IF(ISBLANK(INDIRECT("R9.Web!D"&amp;SUM(18,38*40,20))),"",INDIRECT("R9.Web!D"&amp;SUM(18,38*40,20))))</f>
        <v>Pasa</v>
      </c>
      <c r="BY39" s="75" t="str" cm="1">
        <f t="array" aca="1" ref="BY39" ca="1">IF($B39="","",IF(ISBLANK(INDIRECT("R9.Web!D"&amp;SUM(18,38*41,20))),"",INDIRECT("R9.Web!D"&amp;SUM(18,38*41,20))))</f>
        <v>Pasa</v>
      </c>
      <c r="BZ39" s="75" t="str" cm="1">
        <f t="array" aca="1" ref="BZ39" ca="1">IF($B39="","",IF(ISBLANK(INDIRECT("R9.Web!D"&amp;SUM(18,38*42,20))),"",INDIRECT("R9.Web!D"&amp;SUM(18,38*42,20))))</f>
        <v>N/A</v>
      </c>
      <c r="CA39" s="75" t="str" cm="1">
        <f t="array" aca="1" ref="CA39" ca="1">IF($B39="","",IF(ISBLANK(INDIRECT("R9.Web!D"&amp;SUM(18,38*43,20))),"",INDIRECT("R9.Web!D"&amp;SUM(18,38*43,20))))</f>
        <v>Pasa</v>
      </c>
      <c r="CB39" s="75" t="str" cm="1">
        <f t="array" aca="1" ref="CB39" ca="1">IF($B39="","",IF(ISBLANK(INDIRECT("R9.Web!D"&amp;SUM(18,38*44,20))),"",INDIRECT("R9.Web!D"&amp;SUM(18,38*44,20))))</f>
        <v>N/A</v>
      </c>
      <c r="CC39" s="75" t="str" cm="1">
        <f t="array" aca="1" ref="CC39" ca="1">IF($B39="","",IF(ISBLANK(INDIRECT("R9.Web!D"&amp;SUM(18,38*45,20))),"",INDIRECT("R9.Web!D"&amp;SUM(18,38*45,20))))</f>
        <v>N/A</v>
      </c>
      <c r="CD39" s="75" t="str" cm="1">
        <f t="array" aca="1" ref="CD39" ca="1">IF($B39="","",IF(ISBLANK(INDIRECT("R9.Web!D"&amp;SUM(18,38*46,20))),"",INDIRECT("R9.Web!D"&amp;SUM(18,38*46,20))))</f>
        <v>N/A</v>
      </c>
      <c r="CE39" s="75" t="str" cm="1">
        <f t="array" aca="1" ref="CE39" ca="1">IF($B39="","",IF(ISBLANK(INDIRECT("R9.Web!D"&amp;SUM(18,38*47,20))),"",INDIRECT("R9.Web!D"&amp;SUM(18,38*47,20))))</f>
        <v>Pasa</v>
      </c>
      <c r="CF39" s="75" t="str" cm="1">
        <f t="array" aca="1" ref="CF39" ca="1">IF($B39="","",IF(ISBLANK(INDIRECT("R9.Web!D"&amp;SUM(18,38*48,20))),"",INDIRECT("R9.Web!D"&amp;SUM(18,38*48,20))))</f>
        <v>N/A</v>
      </c>
      <c r="CG39" s="75" t="str" cm="1">
        <f t="array" aca="1" ref="CG39" ca="1">IF($B39="","",IF(ISBLANK(INDIRECT("R9.Web!D"&amp;SUM(18,38*49,20))),"",INDIRECT("R9.Web!D"&amp;SUM(18,38*49,20))))</f>
        <v>Falla</v>
      </c>
      <c r="CH39" s="75" t="str" cm="1">
        <f t="array" aca="1" ref="CH39" ca="1">IF($B39="","",IF(ISBLANK(INDIRECT("R11.Software!D"&amp;SUM(18,38*0,20))),"",INDIRECT("R11.Software!D"&amp;SUM(18,38*0,20))))</f>
        <v>Falla</v>
      </c>
      <c r="CI39" s="75" t="str" cm="1">
        <f t="array" aca="1" ref="CI39" ca="1">IF($B39="","",IF(ISBLANK(INDIRECT("R11.Software!D"&amp;SUM(18,38*1,20))),"",INDIRECT("R11.Software!D"&amp;SUM(18,38*1,20))))</f>
        <v>N/A</v>
      </c>
      <c r="CJ39" s="75" t="str" cm="1">
        <f t="array" aca="1" ref="CJ39" ca="1">IF($B39="","",IF(ISBLANK(INDIRECT("R11.Software!D"&amp;SUM(18,38*2,20))),"",INDIRECT("R11.Software!D"&amp;SUM(18,38*2,20))))</f>
        <v>N/A</v>
      </c>
      <c r="CK39" s="75" t="str" cm="1">
        <f t="array" aca="1" ref="CK39" ca="1">IF($B39="","",IF(ISBLANK(INDIRECT("R11.Software!D"&amp;SUM(18,38*3,20))),"",INDIRECT("R11.Software!D"&amp;SUM(18,38*3,20))))</f>
        <v>N/A</v>
      </c>
      <c r="CL39" s="75" t="str" cm="1">
        <f t="array" aca="1" ref="CL39" ca="1">IF($B39="","",IF(ISBLANK(INDIRECT("R11.Software!D"&amp;SUM(18,38*4,20))),"",INDIRECT("R11.Software!D"&amp;SUM(18,38*4,20))))</f>
        <v>N/A</v>
      </c>
      <c r="CM39" s="75" t="str" cm="1">
        <f t="array" aca="1" ref="CM39" ca="1">IF($B39="","",IF(ISBLANK(INDIRECT("R11.Software!D"&amp;SUM(18,38*5,20))),"",INDIRECT("R11.Software!D"&amp;SUM(18,38*5,20))))</f>
        <v>N/A</v>
      </c>
      <c r="CN39" s="75" t="str" cm="1">
        <f t="array" aca="1" ref="CN39" ca="1">IF($B39="","",IF(ISBLANK(INDIRECT("R12.ServiciosApoyo!D"&amp;SUM(18,38*0,20))),"",INDIRECT("R12.ServiciosApoyo!D"&amp;SUM(18,38*0,20))))</f>
        <v>Falla</v>
      </c>
      <c r="CO39" s="75" t="str" cm="1">
        <f t="array" aca="1" ref="CO39" ca="1">IF($B39="","",IF(ISBLANK(INDIRECT("R12.ServiciosApoyo!D"&amp;SUM(18,38*1,20))),"",INDIRECT("R12.ServiciosApoyo!D"&amp;SUM(18,38*1,20))))</f>
        <v>Falla</v>
      </c>
      <c r="CP39" s="75" t="str" cm="1">
        <f t="array" aca="1" ref="CP39" ca="1">IF($B39="","",IF(ISBLANK(INDIRECT("R12.ServiciosApoyo!D"&amp;SUM(18,38*2,20))),"",INDIRECT("R12.ServiciosApoyo!D"&amp;SUM(18,38*2,20))))</f>
        <v>Falla</v>
      </c>
      <c r="CQ39" s="75" t="str" cm="1">
        <f t="array" aca="1" ref="CQ39" ca="1">IF($B39="","",IF(ISBLANK(INDIRECT("R12.ServiciosApoyo!D"&amp;SUM(18,38*3,20))),"",INDIRECT("R12.ServiciosApoyo!D"&amp;SUM(18,38*3,20))))</f>
        <v>Pasa</v>
      </c>
      <c r="CR39" s="75" t="str" cm="1">
        <f t="array" aca="1" ref="CR39" ca="1">IF($B39="","",IF(ISBLANK(INDIRECT("R12.ServiciosApoyo!D"&amp;SUM(18,38*4,20))),"",INDIRECT("R12.ServiciosApoyo!D"&amp;SUM(18,38*4,20))))</f>
        <v>Falla</v>
      </c>
      <c r="CU39" s="76"/>
    </row>
    <row r="40" spans="2:99" ht="20.5">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5">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5">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5">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5">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5">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5">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5">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5">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5">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5">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5">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5">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5">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5">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344</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NO CONFORME</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NO CONFORME</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CONFORME</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NO CONFORME</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NO CONFORME</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NO CONFORME</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NO CONFORME</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NO CONFORME</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NO CONFORME</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NO CONFORME</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CONFORME</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NO CONFORME</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CONFORME</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NO 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NO 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NO 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CONFORME</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CONFORME</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CONFORME</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N/A</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NO CONFORME</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NO 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NO 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row>
    <row r="56" spans="2:99" ht="20.5">
      <c r="AI56" s="76"/>
    </row>
    <row r="58" spans="2:99" ht="30.75" customHeight="1" thickBot="1">
      <c r="B58" s="255" t="s">
        <v>346</v>
      </c>
      <c r="C58" s="255"/>
      <c r="D58" s="255"/>
    </row>
    <row r="59" spans="2:99" ht="23.25" customHeight="1">
      <c r="B59" s="249" t="s">
        <v>352</v>
      </c>
      <c r="C59" s="250"/>
      <c r="D59" s="251"/>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181</v>
      </c>
      <c r="C60" s="72" t="s">
        <v>353</v>
      </c>
      <c r="D60" s="72" t="s">
        <v>447</v>
      </c>
      <c r="E60" s="72" t="s">
        <v>448</v>
      </c>
      <c r="F60" s="72" t="s">
        <v>449</v>
      </c>
      <c r="G60" s="72" t="s">
        <v>450</v>
      </c>
      <c r="H60" s="72" t="s">
        <v>451</v>
      </c>
      <c r="I60" s="72" t="s">
        <v>452</v>
      </c>
      <c r="J60" s="72" t="s">
        <v>453</v>
      </c>
      <c r="K60" s="72" t="s">
        <v>454</v>
      </c>
      <c r="L60" s="72" t="s">
        <v>455</v>
      </c>
      <c r="M60" s="72" t="s">
        <v>456</v>
      </c>
      <c r="N60" s="72" t="s">
        <v>457</v>
      </c>
      <c r="O60" s="72" t="s">
        <v>458</v>
      </c>
      <c r="P60" s="72" t="s">
        <v>459</v>
      </c>
      <c r="Q60" s="72" t="s">
        <v>460</v>
      </c>
      <c r="R60" s="72" t="s">
        <v>461</v>
      </c>
      <c r="S60" s="72" t="s">
        <v>462</v>
      </c>
      <c r="T60" s="72" t="s">
        <v>463</v>
      </c>
      <c r="U60" s="72" t="s">
        <v>464</v>
      </c>
      <c r="V60" s="72" t="s">
        <v>465</v>
      </c>
      <c r="W60" s="72" t="s">
        <v>466</v>
      </c>
      <c r="X60" s="72" t="s">
        <v>467</v>
      </c>
      <c r="Y60" s="72" t="s">
        <v>468</v>
      </c>
      <c r="Z60" s="72" t="s">
        <v>469</v>
      </c>
      <c r="AA60" s="72" t="s">
        <v>470</v>
      </c>
      <c r="AB60" s="72" t="s">
        <v>471</v>
      </c>
      <c r="AC60" s="72" t="s">
        <v>472</v>
      </c>
      <c r="AD60" s="72" t="s">
        <v>473</v>
      </c>
      <c r="AE60" s="72" t="s">
        <v>474</v>
      </c>
      <c r="AF60" s="72" t="s">
        <v>475</v>
      </c>
      <c r="AG60" s="72" t="s">
        <v>476</v>
      </c>
      <c r="AH60" s="72" t="s">
        <v>477</v>
      </c>
      <c r="AI60" s="72" t="s">
        <v>478</v>
      </c>
      <c r="AJ60" s="72" t="s">
        <v>479</v>
      </c>
      <c r="AK60" s="72" t="s">
        <v>480</v>
      </c>
      <c r="AL60" s="72" t="s">
        <v>481</v>
      </c>
      <c r="AM60" s="72" t="s">
        <v>482</v>
      </c>
      <c r="AN60" s="72" t="s">
        <v>483</v>
      </c>
      <c r="AO60" s="72" t="s">
        <v>484</v>
      </c>
      <c r="AP60" s="72" t="s">
        <v>485</v>
      </c>
      <c r="AQ60" s="72" t="s">
        <v>486</v>
      </c>
      <c r="AR60" s="72" t="s">
        <v>487</v>
      </c>
      <c r="AS60" s="72" t="s">
        <v>488</v>
      </c>
      <c r="AT60" s="72" t="s">
        <v>489</v>
      </c>
      <c r="AU60" s="72" t="s">
        <v>490</v>
      </c>
      <c r="AV60" s="72" t="s">
        <v>491</v>
      </c>
      <c r="AW60" s="72" t="s">
        <v>492</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346</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B59:D59"/>
    <mergeCell ref="B17:D17"/>
    <mergeCell ref="B58:D58"/>
    <mergeCell ref="K6:M6"/>
    <mergeCell ref="B18:D18"/>
    <mergeCell ref="O6:Q6"/>
    <mergeCell ref="C7:D7"/>
    <mergeCell ref="C8:D8"/>
    <mergeCell ref="F14:I14"/>
    <mergeCell ref="C11:D11"/>
    <mergeCell ref="C9:D9"/>
    <mergeCell ref="F13:I13"/>
    <mergeCell ref="K13:L13"/>
    <mergeCell ref="K14:L14"/>
    <mergeCell ref="C10:D10"/>
  </mergeCells>
  <phoneticPr fontId="58" type="noConversion"/>
  <conditionalFormatting sqref="E61:AW95">
    <cfRule type="cellIs" dxfId="16" priority="779" operator="equal">
      <formula>"Pasa"</formula>
    </cfRule>
    <cfRule type="cellIs" dxfId="15" priority="780" operator="equal">
      <formula>"Falla"</formula>
    </cfRule>
    <cfRule type="cellIs" dxfId="14" priority="782" operator="equal">
      <formula>"N/T"</formula>
    </cfRule>
    <cfRule type="cellIs" dxfId="13" priority="783" operator="equal">
      <formula>"N/D"</formula>
    </cfRule>
  </conditionalFormatting>
  <conditionalFormatting sqref="E61:AW96">
    <cfRule type="cellIs" dxfId="12" priority="781" operator="equal">
      <formula>"N/A"</formula>
    </cfRule>
  </conditionalFormatting>
  <conditionalFormatting sqref="E20:CR54">
    <cfRule type="cellIs" dxfId="11" priority="1" operator="equal">
      <formula>"Pasa"</formula>
    </cfRule>
    <cfRule type="cellIs" dxfId="10" priority="2" operator="equal">
      <formula>"Falla"</formula>
    </cfRule>
    <cfRule type="cellIs" dxfId="9" priority="4" operator="equal">
      <formula>"N/T"</formula>
    </cfRule>
    <cfRule type="cellIs" dxfId="8" priority="5" operator="equal">
      <formula>"N/D"</formula>
    </cfRule>
  </conditionalFormatting>
  <conditionalFormatting sqref="E20:CR55">
    <cfRule type="cellIs" dxfId="7" priority="3" operator="equal">
      <formula>"N/A"</formula>
    </cfRule>
  </conditionalFormatting>
  <conditionalFormatting sqref="E55:CR55 E96:AW96">
    <cfRule type="cellIs" dxfId="6" priority="784" operator="equal">
      <formula>"CONFORME"</formula>
    </cfRule>
    <cfRule type="cellIs" dxfId="5" priority="785" operator="equal">
      <formula>"NO CONFORME"</formula>
    </cfRule>
    <cfRule type="cellIs" dxfId="4" priority="786" operator="equal">
      <formula>"ERROR"</formula>
    </cfRule>
  </conditionalFormatting>
  <conditionalFormatting sqref="K14:L14">
    <cfRule type="cellIs" dxfId="3" priority="290" operator="equal">
      <formula>"SI"</formula>
    </cfRule>
    <cfRule type="cellIs" dxfId="2" priority="291" operator="equal">
      <formula>"NO"</formula>
    </cfRule>
  </conditionalFormatting>
  <conditionalFormatting sqref="CU20">
    <cfRule type="cellIs" dxfId="1" priority="788" operator="equal">
      <formula>"FALLA"</formula>
    </cfRule>
    <cfRule type="cellIs" dxfId="0" priority="789" operator="equal">
      <formula>"PASA"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ColWidth="11.453125" defaultRowHeight="12.5"/>
  <cols>
    <col min="13" max="13" width="12.36328125" customWidth="1"/>
    <col min="14" max="14" width="13.453125" customWidth="1"/>
  </cols>
  <sheetData>
    <row r="1" spans="1:64" ht="25.4"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75"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75" customHeight="1">
      <c r="A3" s="1"/>
      <c r="B3" s="5"/>
      <c r="C3" s="3"/>
      <c r="D3" s="3"/>
      <c r="E3" s="3"/>
      <c r="F3" s="3"/>
      <c r="G3" s="3"/>
      <c r="H3" s="3"/>
      <c r="I3" s="3"/>
      <c r="J3" s="3"/>
      <c r="K3" s="3"/>
      <c r="L3" s="3"/>
      <c r="M3" s="3"/>
      <c r="N3" s="3"/>
      <c r="O3" s="3"/>
      <c r="P3" s="3"/>
      <c r="Q3" s="3"/>
      <c r="R3" s="3"/>
      <c r="S3" s="3"/>
      <c r="T3" s="3"/>
      <c r="U3" s="3"/>
      <c r="V3" s="3"/>
      <c r="W3" s="3"/>
      <c r="X3" s="3"/>
      <c r="Y3" s="3"/>
      <c r="Z3" s="3"/>
    </row>
    <row r="4" spans="1:64" ht="28.4" customHeight="1">
      <c r="B4" s="258" t="s">
        <v>493</v>
      </c>
      <c r="C4" s="258"/>
      <c r="D4" s="258"/>
      <c r="E4" s="258"/>
      <c r="F4" s="258"/>
      <c r="G4" s="258"/>
      <c r="H4" s="258"/>
      <c r="I4" s="258"/>
      <c r="J4" s="258"/>
      <c r="K4" s="258"/>
      <c r="L4" s="258"/>
      <c r="M4" s="258"/>
      <c r="N4" s="258"/>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6" t="s">
        <v>494</v>
      </c>
      <c r="C6" s="256"/>
      <c r="D6" s="256"/>
      <c r="E6" s="256"/>
      <c r="F6" s="256"/>
      <c r="G6" s="256"/>
      <c r="H6" s="256"/>
      <c r="I6" s="256"/>
      <c r="J6" s="256"/>
      <c r="K6" s="256"/>
      <c r="L6" s="256"/>
      <c r="M6" s="256"/>
      <c r="N6" s="256"/>
    </row>
    <row r="7" spans="1:64" ht="172.5" customHeight="1">
      <c r="B7" s="257"/>
      <c r="C7" s="257"/>
      <c r="D7" s="257"/>
      <c r="E7" s="257"/>
      <c r="F7" s="257"/>
      <c r="G7" s="257"/>
      <c r="H7" s="257"/>
      <c r="I7" s="257"/>
      <c r="J7" s="257"/>
      <c r="K7" s="257"/>
      <c r="L7" s="257"/>
      <c r="M7" s="257"/>
      <c r="N7" s="257"/>
    </row>
    <row r="8" spans="1:64" ht="232.5" customHeight="1">
      <c r="B8" s="257"/>
      <c r="C8" s="257"/>
      <c r="D8" s="257"/>
      <c r="E8" s="257"/>
      <c r="F8" s="257"/>
      <c r="G8" s="257"/>
      <c r="H8" s="257"/>
      <c r="I8" s="257"/>
      <c r="J8" s="257"/>
      <c r="K8" s="257"/>
      <c r="L8" s="257"/>
      <c r="M8" s="257"/>
      <c r="N8" s="257"/>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54296875" defaultRowHeight="12.5"/>
  <cols>
    <col min="1" max="1" width="3.90625" customWidth="1"/>
    <col min="2" max="2" width="65.08984375" customWidth="1"/>
    <col min="3" max="3" width="18.90625" customWidth="1"/>
    <col min="4" max="4" width="3.90625" customWidth="1"/>
    <col min="5" max="5" width="28.08984375" customWidth="1"/>
    <col min="6" max="6" width="3.90625" customWidth="1"/>
    <col min="7" max="7" width="33.08984375" customWidth="1"/>
    <col min="8" max="8" width="4" customWidth="1"/>
    <col min="9" max="9" width="17.90625" customWidth="1"/>
    <col min="10" max="10" width="3.90625" customWidth="1"/>
    <col min="11" max="11" width="6.54296875" customWidth="1"/>
    <col min="12" max="12" width="3.90625" customWidth="1"/>
    <col min="13" max="13" width="8.6328125" customWidth="1"/>
    <col min="14" max="14" width="3.90625" customWidth="1"/>
    <col min="15" max="15" width="25.36328125" customWidth="1"/>
    <col min="16" max="16" width="3.90625" customWidth="1"/>
    <col min="18" max="18" width="3.90625" customWidth="1"/>
    <col min="19" max="19" width="22.54296875" customWidth="1"/>
    <col min="20" max="20" width="3.90625" customWidth="1"/>
    <col min="21" max="21" width="11.54296875" customWidth="1"/>
  </cols>
  <sheetData>
    <row r="7" spans="3:22">
      <c r="C7" s="141" t="s">
        <v>495</v>
      </c>
      <c r="D7" s="84"/>
      <c r="E7" s="141" t="s">
        <v>496</v>
      </c>
      <c r="F7" s="84"/>
      <c r="G7" s="141" t="s">
        <v>497</v>
      </c>
      <c r="H7" s="84"/>
      <c r="I7" s="141" t="s">
        <v>498</v>
      </c>
      <c r="J7" s="84"/>
      <c r="K7" s="141" t="s">
        <v>499</v>
      </c>
      <c r="L7" s="84"/>
      <c r="M7" s="141" t="s">
        <v>499</v>
      </c>
      <c r="N7" s="84"/>
      <c r="O7" s="141" t="s">
        <v>500</v>
      </c>
      <c r="P7" s="84"/>
      <c r="R7" s="84"/>
      <c r="S7" s="141" t="s">
        <v>501</v>
      </c>
      <c r="T7" s="84"/>
      <c r="U7" s="141" t="s">
        <v>183</v>
      </c>
      <c r="V7" s="84"/>
    </row>
    <row r="8" spans="3:22">
      <c r="U8" s="135" t="s">
        <v>502</v>
      </c>
      <c r="V8" s="135"/>
    </row>
    <row r="9" spans="3:22" ht="12.75" customHeight="1">
      <c r="C9" s="3" t="s">
        <v>503</v>
      </c>
      <c r="E9" s="16" t="s">
        <v>42</v>
      </c>
      <c r="G9" t="s">
        <v>504</v>
      </c>
      <c r="I9" t="s">
        <v>505</v>
      </c>
      <c r="K9" t="s">
        <v>61</v>
      </c>
      <c r="M9" t="s">
        <v>506</v>
      </c>
      <c r="O9" t="s">
        <v>90</v>
      </c>
      <c r="S9" t="s">
        <v>507</v>
      </c>
      <c r="U9" s="21" t="s">
        <v>185</v>
      </c>
      <c r="V9" s="21"/>
    </row>
    <row r="10" spans="3:22" ht="12.75" customHeight="1">
      <c r="C10" s="3" t="s">
        <v>37</v>
      </c>
      <c r="E10" s="16" t="s">
        <v>44</v>
      </c>
      <c r="G10" t="s">
        <v>53</v>
      </c>
      <c r="I10" t="s">
        <v>508</v>
      </c>
      <c r="K10" t="s">
        <v>43</v>
      </c>
      <c r="M10" t="s">
        <v>114</v>
      </c>
      <c r="O10" t="s">
        <v>509</v>
      </c>
      <c r="S10" t="s">
        <v>22</v>
      </c>
      <c r="U10" s="21" t="s">
        <v>186</v>
      </c>
      <c r="V10" s="21"/>
    </row>
    <row r="11" spans="3:22" ht="12.75" customHeight="1">
      <c r="C11" s="3" t="s">
        <v>510</v>
      </c>
      <c r="E11" s="16" t="s">
        <v>45</v>
      </c>
      <c r="G11" t="s">
        <v>511</v>
      </c>
      <c r="O11" t="s">
        <v>153</v>
      </c>
      <c r="S11" t="s">
        <v>512</v>
      </c>
      <c r="U11" s="21" t="s">
        <v>184</v>
      </c>
      <c r="V11" s="21"/>
    </row>
    <row r="12" spans="3:22" ht="12.75" customHeight="1">
      <c r="C12" s="3" t="s">
        <v>513</v>
      </c>
      <c r="E12" s="16" t="s">
        <v>46</v>
      </c>
      <c r="O12" t="s">
        <v>140</v>
      </c>
      <c r="U12" s="21" t="s">
        <v>176</v>
      </c>
      <c r="V12" s="21"/>
    </row>
    <row r="13" spans="3:22" ht="12.75" customHeight="1">
      <c r="E13" s="16" t="s">
        <v>47</v>
      </c>
      <c r="O13" t="s">
        <v>514</v>
      </c>
      <c r="U13" s="21" t="s">
        <v>174</v>
      </c>
      <c r="V13" s="21"/>
    </row>
    <row r="14" spans="3:22" ht="12.75" customHeight="1">
      <c r="E14" s="16" t="s">
        <v>48</v>
      </c>
      <c r="O14" t="s">
        <v>149</v>
      </c>
    </row>
    <row r="15" spans="3:22" ht="12.75" customHeight="1">
      <c r="E15" s="16" t="s">
        <v>49</v>
      </c>
      <c r="O15" t="s">
        <v>134</v>
      </c>
    </row>
    <row r="16" spans="3:22" ht="12.75" customHeight="1">
      <c r="E16" s="16" t="s">
        <v>50</v>
      </c>
      <c r="O16" t="s">
        <v>144</v>
      </c>
    </row>
    <row r="17" spans="2:15" ht="12.75" customHeight="1">
      <c r="E17" s="16" t="s">
        <v>51</v>
      </c>
      <c r="O17" t="s">
        <v>158</v>
      </c>
    </row>
    <row r="18" spans="2:15" ht="12.75" customHeight="1">
      <c r="E18" s="16"/>
      <c r="O18" t="s">
        <v>515</v>
      </c>
    </row>
    <row r="19" spans="2:15" ht="12.75" customHeight="1">
      <c r="E19" s="16"/>
      <c r="O19" t="s">
        <v>124</v>
      </c>
    </row>
    <row r="20" spans="2:15" ht="12.75" customHeight="1">
      <c r="E20" s="29"/>
      <c r="O20" t="s">
        <v>516</v>
      </c>
    </row>
    <row r="21" spans="2:15" ht="12.75" customHeight="1">
      <c r="E21" s="17"/>
      <c r="O21" t="s">
        <v>517</v>
      </c>
    </row>
    <row r="22" spans="2:15" ht="12.75" customHeight="1">
      <c r="O22" t="s">
        <v>114</v>
      </c>
    </row>
    <row r="23" spans="2:15" ht="15.5">
      <c r="B23" s="30" t="s">
        <v>518</v>
      </c>
    </row>
    <row r="25" spans="2:15" ht="15.5">
      <c r="B25" s="31" t="s">
        <v>519</v>
      </c>
      <c r="C25" s="32">
        <v>0.1</v>
      </c>
    </row>
    <row r="26" spans="2:15" ht="15.5">
      <c r="B26" s="31" t="s">
        <v>520</v>
      </c>
      <c r="C26" s="32">
        <v>0.5</v>
      </c>
    </row>
    <row r="27" spans="2:15" ht="15.5">
      <c r="B27" s="31" t="s">
        <v>521</v>
      </c>
      <c r="C27" s="32">
        <v>1</v>
      </c>
    </row>
    <row r="28" spans="2:15">
      <c r="C28" s="33"/>
      <c r="D28" s="33"/>
    </row>
    <row r="29" spans="2:15">
      <c r="C29" s="33"/>
      <c r="D29" s="33"/>
    </row>
    <row r="30" spans="2:15" ht="14">
      <c r="B30" s="34" t="s">
        <v>522</v>
      </c>
      <c r="C30" s="208"/>
      <c r="D30" s="208"/>
    </row>
    <row r="31" spans="2:15" ht="14">
      <c r="B31" s="209"/>
      <c r="C31" s="208"/>
      <c r="D31" s="208"/>
    </row>
    <row r="32" spans="2:15" ht="14">
      <c r="B32" s="209" t="s">
        <v>523</v>
      </c>
      <c r="C32" s="209">
        <v>28</v>
      </c>
      <c r="D32" s="209"/>
    </row>
    <row r="33" spans="2:4" ht="14">
      <c r="B33" s="209" t="s">
        <v>524</v>
      </c>
      <c r="C33" s="209">
        <v>16</v>
      </c>
      <c r="D33" s="209"/>
    </row>
    <row r="34" spans="2:4" ht="14">
      <c r="B34" s="209"/>
      <c r="C34" s="209"/>
      <c r="D34" s="209"/>
    </row>
    <row r="35" spans="2:4" ht="14">
      <c r="B35" s="209"/>
      <c r="C35" s="209"/>
      <c r="D35" s="209"/>
    </row>
    <row r="36" spans="2:4" ht="14">
      <c r="B36" s="209"/>
      <c r="C36" s="209"/>
      <c r="D36" s="209"/>
    </row>
    <row r="37" spans="2:4" ht="14">
      <c r="B37" s="209"/>
      <c r="C37" s="209"/>
      <c r="D37" s="209"/>
    </row>
    <row r="38" spans="2:4" ht="14">
      <c r="B38" s="209"/>
      <c r="C38" s="209"/>
      <c r="D38" s="209"/>
    </row>
    <row r="39" spans="2:4" ht="14">
      <c r="B39" s="209"/>
      <c r="C39" s="209"/>
      <c r="D39" s="209"/>
    </row>
    <row r="40" spans="2:4" ht="14">
      <c r="B40" s="209"/>
      <c r="C40" s="209"/>
    </row>
    <row r="41" spans="2:4" ht="14">
      <c r="B41" s="209"/>
      <c r="C41" s="209"/>
    </row>
    <row r="42" spans="2:4" ht="14">
      <c r="B42" s="209"/>
      <c r="C42" s="209"/>
    </row>
    <row r="43" spans="2:4" ht="14">
      <c r="B43" s="209"/>
      <c r="C43" s="209"/>
    </row>
    <row r="44" spans="2:4" ht="14">
      <c r="B44" s="209"/>
      <c r="C44" s="209"/>
    </row>
    <row r="45" spans="2:4" ht="14">
      <c r="B45" s="209"/>
      <c r="C45" s="209"/>
    </row>
    <row r="46" spans="2:4" ht="14">
      <c r="B46" s="209"/>
      <c r="C46" s="209"/>
    </row>
    <row r="47" spans="2:4" ht="14">
      <c r="B47" s="209"/>
      <c r="C47" s="209"/>
    </row>
    <row r="48" spans="2:4" ht="14">
      <c r="B48" s="209"/>
      <c r="C48" s="209"/>
    </row>
    <row r="49" spans="2:3" ht="14">
      <c r="B49" s="209"/>
      <c r="C49" s="209"/>
    </row>
    <row r="50" spans="2:3" ht="14">
      <c r="B50" s="209"/>
      <c r="C50" s="209"/>
    </row>
    <row r="51" spans="2:3" ht="14">
      <c r="B51" s="209"/>
      <c r="C51" s="209"/>
    </row>
    <row r="52" spans="2:3" ht="14">
      <c r="B52" s="209"/>
      <c r="C52" s="209"/>
    </row>
    <row r="53" spans="2:3" ht="14">
      <c r="B53" s="209"/>
      <c r="C53" s="209"/>
    </row>
    <row r="54" spans="2:3" ht="14">
      <c r="B54" s="209"/>
      <c r="C54" s="209"/>
    </row>
    <row r="55" spans="2:3" ht="14">
      <c r="B55" s="209"/>
      <c r="C55" s="209"/>
    </row>
    <row r="56" spans="2:3" ht="14">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53125" defaultRowHeight="12.5"/>
  <cols>
    <col min="2" max="2" width="13.453125" bestFit="1" customWidth="1"/>
    <col min="3" max="3" width="48.453125" customWidth="1"/>
    <col min="4" max="4" width="14.36328125" customWidth="1"/>
    <col min="5" max="5" width="14.08984375" customWidth="1"/>
    <col min="9" max="9" width="2.453125" customWidth="1"/>
    <col min="10" max="10" width="2.6328125" customWidth="1"/>
    <col min="11" max="11" width="27.54296875" customWidth="1"/>
    <col min="13" max="13" width="12.36328125" bestFit="1" customWidth="1"/>
    <col min="14" max="14" width="9.08984375" bestFit="1" customWidth="1"/>
    <col min="15" max="15" width="5.54296875" bestFit="1" customWidth="1"/>
    <col min="16" max="16" width="8.90625" bestFit="1" customWidth="1"/>
    <col min="17" max="19" width="3.54296875" customWidth="1"/>
    <col min="21" max="21" width="14.90625" bestFit="1" customWidth="1"/>
    <col min="22" max="22" width="21.36328125" bestFit="1" customWidth="1"/>
    <col min="26" max="26" width="21.36328125" bestFit="1" customWidth="1"/>
    <col min="120" max="120" width="14.90625" bestFit="1" customWidth="1"/>
    <col min="125" max="125" width="21.36328125" bestFit="1" customWidth="1"/>
  </cols>
  <sheetData>
    <row r="1" spans="1:170" ht="13">
      <c r="A1" s="109" t="s">
        <v>525</v>
      </c>
      <c r="B1" s="109"/>
      <c r="C1" s="109" t="s">
        <v>526</v>
      </c>
      <c r="D1" s="109"/>
      <c r="E1" s="109" t="s">
        <v>527</v>
      </c>
      <c r="F1" s="109"/>
      <c r="G1" s="109"/>
      <c r="H1" s="109"/>
      <c r="I1" s="109"/>
      <c r="J1" s="109"/>
      <c r="K1" s="109" t="s">
        <v>528</v>
      </c>
      <c r="L1" s="109"/>
      <c r="M1" s="109"/>
      <c r="T1" s="260" t="s">
        <v>344</v>
      </c>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59" t="s">
        <v>529</v>
      </c>
      <c r="DP1" s="259"/>
      <c r="DQ1" s="259"/>
      <c r="DR1" s="259"/>
      <c r="DS1" s="259"/>
      <c r="DT1" s="259"/>
      <c r="DU1" s="259"/>
      <c r="DV1" s="259"/>
      <c r="DW1" s="259"/>
      <c r="DX1" s="259"/>
      <c r="DY1" s="259"/>
      <c r="DZ1" s="259"/>
      <c r="EA1" s="259"/>
      <c r="EB1" s="259"/>
      <c r="EC1" s="259"/>
      <c r="ED1" s="259"/>
      <c r="EE1" s="259"/>
      <c r="EF1" s="259"/>
      <c r="EG1" s="259"/>
      <c r="EH1" s="259"/>
      <c r="EI1" s="259"/>
      <c r="EJ1" s="259"/>
      <c r="EK1" s="259"/>
      <c r="EL1" s="259"/>
      <c r="EM1" s="259"/>
      <c r="EN1" s="259"/>
      <c r="EO1" s="259"/>
      <c r="EP1" s="259"/>
      <c r="EQ1" s="259"/>
      <c r="ER1" s="259"/>
      <c r="ES1" s="259"/>
      <c r="ET1" s="259"/>
      <c r="EU1" s="259"/>
      <c r="EV1" s="259"/>
      <c r="EW1" s="259"/>
      <c r="EX1" s="259"/>
      <c r="EY1" s="259"/>
      <c r="EZ1" s="259"/>
      <c r="FA1" s="259"/>
      <c r="FB1" s="259"/>
      <c r="FC1" s="259"/>
      <c r="FD1" s="259"/>
      <c r="FE1" s="259"/>
      <c r="FF1" s="259"/>
      <c r="FG1" s="259"/>
      <c r="FH1" s="259"/>
      <c r="FI1" s="259"/>
      <c r="FJ1" s="259"/>
      <c r="FK1" s="259"/>
      <c r="FL1" s="259"/>
      <c r="FM1" s="259"/>
      <c r="FN1" s="259"/>
    </row>
    <row r="2" spans="1:170" ht="13">
      <c r="A2" t="s">
        <v>530</v>
      </c>
      <c r="B2" s="111" t="str">
        <f>'00.Info'!N2</f>
        <v>Versión: 2.0.1</v>
      </c>
      <c r="C2" s="109" t="s">
        <v>14</v>
      </c>
      <c r="D2" s="112" t="str">
        <f>'01.Definición de ámbito'!C7</f>
        <v>SUBDIRECCIÓN GENERAL DE ADMINISTRACIÓN ELECTRÓNICA</v>
      </c>
      <c r="E2" s="109" t="s">
        <v>60</v>
      </c>
      <c r="F2" s="112" t="str">
        <f>'02.Tecnologías'!C9</f>
        <v>Sí</v>
      </c>
      <c r="G2" s="161" t="s">
        <v>531</v>
      </c>
      <c r="H2" s="161" t="s">
        <v>532</v>
      </c>
      <c r="I2" s="161"/>
      <c r="J2" s="161"/>
      <c r="K2" s="118" t="s">
        <v>533</v>
      </c>
      <c r="L2" s="163">
        <f>'03.Muestra'!D45</f>
        <v>20</v>
      </c>
      <c r="M2" s="109"/>
      <c r="T2" s="110" t="s">
        <v>534</v>
      </c>
      <c r="U2" s="110" t="s">
        <v>353</v>
      </c>
      <c r="V2" s="110" t="s">
        <v>535</v>
      </c>
      <c r="W2" s="110" t="s">
        <v>536</v>
      </c>
      <c r="X2" s="110" t="s">
        <v>537</v>
      </c>
      <c r="Y2" s="110" t="s">
        <v>538</v>
      </c>
      <c r="Z2" s="110" t="s">
        <v>87</v>
      </c>
      <c r="AA2" s="110" t="s">
        <v>355</v>
      </c>
      <c r="AB2" s="110" t="s">
        <v>356</v>
      </c>
      <c r="AC2" s="110" t="s">
        <v>357</v>
      </c>
      <c r="AD2" s="110" t="s">
        <v>358</v>
      </c>
      <c r="AE2" s="110" t="s">
        <v>359</v>
      </c>
      <c r="AF2" s="110" t="s">
        <v>360</v>
      </c>
      <c r="AG2" s="110" t="s">
        <v>361</v>
      </c>
      <c r="AH2" s="110" t="s">
        <v>362</v>
      </c>
      <c r="AI2" s="110" t="s">
        <v>363</v>
      </c>
      <c r="AJ2" s="110" t="s">
        <v>364</v>
      </c>
      <c r="AK2" s="110" t="s">
        <v>365</v>
      </c>
      <c r="AL2" s="110" t="s">
        <v>366</v>
      </c>
      <c r="AM2" s="110" t="s">
        <v>367</v>
      </c>
      <c r="AN2" s="110" t="s">
        <v>368</v>
      </c>
      <c r="AO2" s="110" t="s">
        <v>369</v>
      </c>
      <c r="AP2" s="110" t="s">
        <v>370</v>
      </c>
      <c r="AQ2" s="110" t="s">
        <v>371</v>
      </c>
      <c r="AR2" s="110" t="s">
        <v>372</v>
      </c>
      <c r="AS2" s="110" t="s">
        <v>373</v>
      </c>
      <c r="AT2" s="110" t="s">
        <v>374</v>
      </c>
      <c r="AU2" s="110" t="s">
        <v>375</v>
      </c>
      <c r="AV2" s="110" t="s">
        <v>376</v>
      </c>
      <c r="AW2" s="110" t="s">
        <v>377</v>
      </c>
      <c r="AX2" s="110" t="s">
        <v>378</v>
      </c>
      <c r="AY2" s="110" t="s">
        <v>379</v>
      </c>
      <c r="AZ2" s="110" t="s">
        <v>380</v>
      </c>
      <c r="BA2" s="110" t="s">
        <v>381</v>
      </c>
      <c r="BB2" s="110" t="s">
        <v>382</v>
      </c>
      <c r="BC2" s="110" t="s">
        <v>383</v>
      </c>
      <c r="BD2" s="110" t="s">
        <v>384</v>
      </c>
      <c r="BE2" s="110" t="s">
        <v>385</v>
      </c>
      <c r="BF2" s="110" t="s">
        <v>386</v>
      </c>
      <c r="BG2" s="110" t="s">
        <v>387</v>
      </c>
      <c r="BH2" s="110" t="s">
        <v>388</v>
      </c>
      <c r="BI2" s="110" t="s">
        <v>389</v>
      </c>
      <c r="BJ2" s="110" t="s">
        <v>390</v>
      </c>
      <c r="BK2" s="110" t="s">
        <v>391</v>
      </c>
      <c r="BL2" s="110" t="s">
        <v>392</v>
      </c>
      <c r="BM2" s="110" t="s">
        <v>393</v>
      </c>
      <c r="BN2" s="110" t="s">
        <v>394</v>
      </c>
      <c r="BO2" s="110" t="s">
        <v>395</v>
      </c>
      <c r="BP2" s="110" t="s">
        <v>396</v>
      </c>
      <c r="BQ2" s="110" t="s">
        <v>397</v>
      </c>
      <c r="BR2" s="110" t="s">
        <v>398</v>
      </c>
      <c r="BS2" s="110" t="s">
        <v>399</v>
      </c>
      <c r="BT2" s="110" t="s">
        <v>400</v>
      </c>
      <c r="BU2" s="110" t="s">
        <v>401</v>
      </c>
      <c r="BV2" s="110" t="s">
        <v>402</v>
      </c>
      <c r="BW2" s="110" t="s">
        <v>403</v>
      </c>
      <c r="BX2" s="110" t="s">
        <v>404</v>
      </c>
      <c r="BY2" s="110" t="s">
        <v>405</v>
      </c>
      <c r="BZ2" s="110" t="s">
        <v>406</v>
      </c>
      <c r="CA2" s="110" t="s">
        <v>407</v>
      </c>
      <c r="CB2" s="110" t="s">
        <v>408</v>
      </c>
      <c r="CC2" s="110" t="s">
        <v>409</v>
      </c>
      <c r="CD2" s="110" t="s">
        <v>410</v>
      </c>
      <c r="CE2" s="110" t="s">
        <v>411</v>
      </c>
      <c r="CF2" s="110" t="s">
        <v>412</v>
      </c>
      <c r="CG2" s="110" t="s">
        <v>413</v>
      </c>
      <c r="CH2" s="110" t="s">
        <v>414</v>
      </c>
      <c r="CI2" s="110" t="s">
        <v>415</v>
      </c>
      <c r="CJ2" s="110" t="s">
        <v>416</v>
      </c>
      <c r="CK2" s="110" t="s">
        <v>417</v>
      </c>
      <c r="CL2" s="110" t="s">
        <v>418</v>
      </c>
      <c r="CM2" s="110" t="s">
        <v>419</v>
      </c>
      <c r="CN2" s="110" t="s">
        <v>420</v>
      </c>
      <c r="CO2" s="110" t="s">
        <v>421</v>
      </c>
      <c r="CP2" s="110" t="s">
        <v>422</v>
      </c>
      <c r="CQ2" s="110" t="s">
        <v>423</v>
      </c>
      <c r="CR2" s="110" t="s">
        <v>424</v>
      </c>
      <c r="CS2" s="110" t="s">
        <v>425</v>
      </c>
      <c r="CT2" s="110" t="s">
        <v>426</v>
      </c>
      <c r="CU2" s="110" t="s">
        <v>427</v>
      </c>
      <c r="CV2" s="110" t="s">
        <v>428</v>
      </c>
      <c r="CW2" s="110" t="s">
        <v>429</v>
      </c>
      <c r="CX2" s="110" t="s">
        <v>430</v>
      </c>
      <c r="CY2" s="110" t="s">
        <v>431</v>
      </c>
      <c r="CZ2" s="110" t="s">
        <v>432</v>
      </c>
      <c r="DA2" s="110" t="s">
        <v>433</v>
      </c>
      <c r="DB2" s="110" t="s">
        <v>434</v>
      </c>
      <c r="DC2" s="110" t="s">
        <v>435</v>
      </c>
      <c r="DD2" s="110" t="s">
        <v>436</v>
      </c>
      <c r="DE2" s="110" t="s">
        <v>437</v>
      </c>
      <c r="DF2" s="110" t="s">
        <v>438</v>
      </c>
      <c r="DG2" s="110" t="s">
        <v>439</v>
      </c>
      <c r="DH2" s="110" t="s">
        <v>440</v>
      </c>
      <c r="DI2" s="110" t="s">
        <v>441</v>
      </c>
      <c r="DJ2" s="110" t="s">
        <v>442</v>
      </c>
      <c r="DK2" s="110" t="s">
        <v>443</v>
      </c>
      <c r="DL2" s="110" t="s">
        <v>444</v>
      </c>
      <c r="DM2" s="110" t="s">
        <v>445</v>
      </c>
      <c r="DN2" s="110" t="s">
        <v>446</v>
      </c>
      <c r="DO2" s="110" t="s">
        <v>534</v>
      </c>
      <c r="DP2" s="110" t="s">
        <v>353</v>
      </c>
      <c r="DQ2" s="110" t="s">
        <v>535</v>
      </c>
      <c r="DR2" s="110" t="s">
        <v>536</v>
      </c>
      <c r="DS2" s="110" t="s">
        <v>537</v>
      </c>
      <c r="DT2" s="110" t="s">
        <v>538</v>
      </c>
      <c r="DU2" s="110" t="s">
        <v>87</v>
      </c>
      <c r="DV2" s="110" t="s">
        <v>448</v>
      </c>
      <c r="DW2" s="109" t="s">
        <v>449</v>
      </c>
      <c r="DX2" s="109" t="s">
        <v>450</v>
      </c>
      <c r="DY2" s="109" t="s">
        <v>451</v>
      </c>
      <c r="DZ2" s="109" t="s">
        <v>452</v>
      </c>
      <c r="EA2" s="109" t="s">
        <v>453</v>
      </c>
      <c r="EB2" s="109" t="s">
        <v>454</v>
      </c>
      <c r="EC2" s="109" t="s">
        <v>455</v>
      </c>
      <c r="ED2" s="109" t="s">
        <v>456</v>
      </c>
      <c r="EE2" s="109" t="s">
        <v>457</v>
      </c>
      <c r="EF2" s="109" t="s">
        <v>458</v>
      </c>
      <c r="EG2" s="109" t="s">
        <v>459</v>
      </c>
      <c r="EH2" s="109" t="s">
        <v>460</v>
      </c>
      <c r="EI2" s="109" t="s">
        <v>461</v>
      </c>
      <c r="EJ2" s="109" t="s">
        <v>462</v>
      </c>
      <c r="EK2" s="109" t="s">
        <v>463</v>
      </c>
      <c r="EL2" s="109" t="s">
        <v>464</v>
      </c>
      <c r="EM2" s="109" t="s">
        <v>465</v>
      </c>
      <c r="EN2" s="109" t="s">
        <v>466</v>
      </c>
      <c r="EO2" s="109" t="s">
        <v>467</v>
      </c>
      <c r="EP2" s="109" t="s">
        <v>468</v>
      </c>
      <c r="EQ2" s="109" t="s">
        <v>469</v>
      </c>
      <c r="ER2" s="109" t="s">
        <v>470</v>
      </c>
      <c r="ES2" s="109" t="s">
        <v>471</v>
      </c>
      <c r="ET2" s="109" t="s">
        <v>472</v>
      </c>
      <c r="EU2" s="109" t="s">
        <v>473</v>
      </c>
      <c r="EV2" s="109" t="s">
        <v>474</v>
      </c>
      <c r="EW2" s="109" t="s">
        <v>475</v>
      </c>
      <c r="EX2" s="109" t="s">
        <v>476</v>
      </c>
      <c r="EY2" s="109" t="s">
        <v>477</v>
      </c>
      <c r="EZ2" s="109" t="s">
        <v>478</v>
      </c>
      <c r="FA2" s="109" t="s">
        <v>479</v>
      </c>
      <c r="FB2" s="109" t="s">
        <v>480</v>
      </c>
      <c r="FC2" s="109" t="s">
        <v>481</v>
      </c>
      <c r="FD2" s="109" t="s">
        <v>482</v>
      </c>
      <c r="FE2" s="109" t="s">
        <v>483</v>
      </c>
      <c r="FF2" s="109" t="s">
        <v>484</v>
      </c>
      <c r="FG2" s="109" t="s">
        <v>485</v>
      </c>
      <c r="FH2" s="109" t="s">
        <v>486</v>
      </c>
      <c r="FI2" s="109" t="s">
        <v>487</v>
      </c>
      <c r="FJ2" s="109" t="s">
        <v>488</v>
      </c>
      <c r="FK2" s="109" t="s">
        <v>489</v>
      </c>
      <c r="FL2" s="109" t="s">
        <v>490</v>
      </c>
      <c r="FM2" s="109" t="s">
        <v>491</v>
      </c>
      <c r="FN2" s="109" t="s">
        <v>492</v>
      </c>
    </row>
    <row r="3" spans="1:170" ht="13">
      <c r="C3" s="109" t="s">
        <v>15</v>
      </c>
      <c r="D3" s="112" t="str">
        <f>'01.Definición de ámbito'!C9</f>
        <v>A13043893</v>
      </c>
      <c r="E3" s="109" t="s">
        <v>64</v>
      </c>
      <c r="F3" s="112" t="str">
        <f>'02.Tecnologías'!C10</f>
        <v>No</v>
      </c>
      <c r="G3" s="112" t="str">
        <f>'02.Tecnologías'!K13</f>
        <v>PHP/Drupal</v>
      </c>
      <c r="H3" s="112" t="str">
        <f>'02.Tecnologías'!L13</f>
        <v xml:space="preserve">https://www.drupal.org/project/drupal/releases/8.0.0 </v>
      </c>
      <c r="I3" s="162"/>
      <c r="J3" s="162"/>
      <c r="K3" s="118" t="s">
        <v>539</v>
      </c>
      <c r="L3" s="163">
        <f>'03.Muestra'!D47</f>
        <v>18</v>
      </c>
      <c r="M3" s="109"/>
      <c r="T3" s="113">
        <f>RESULTADOS!B20</f>
        <v>1</v>
      </c>
      <c r="U3" s="113" t="str">
        <f>RESULTADOS!C20</f>
        <v>Inicio</v>
      </c>
      <c r="V3" s="113" t="str">
        <f>IF(T3&lt;&gt;"","Página web","")</f>
        <v>Página web</v>
      </c>
      <c r="W3" s="113" t="str">
        <f t="array" ref="W3:W37">IFERROR(INDEX('03.Muestra'!$E$8:$E$42,SMALL(IF("Página Web"='03.Muestra'!$D$8:$D$42,ROW('03.Muestra'!$E$8:$E$42)-MIN(ROW('03.Muestra'!$D$8:$D$42))+1,""),ROW()-2)),"")</f>
        <v>Página inicio</v>
      </c>
      <c r="X3" s="113" t="str">
        <f>RESULTADOS!D20</f>
        <v>https://elecciones.comunidad.madrid/es</v>
      </c>
      <c r="Y3" s="113" t="str">
        <f t="array" ref="Y3:Y37">IFERROR(INDEX('03.Muestra'!$G$8:$G$42,SMALL(IF("Página Web"='03.Muestra'!$D$8:$D$42,ROW('03.Muestra'!$G$8:$GE$42)-MIN(ROW('03.Muestra'!$D$8:$D$42))+1,""),ROW()-2)),"")</f>
        <v>Home</v>
      </c>
      <c r="Z3" s="188" t="str">
        <f t="array" ref="Z3:Z37">IFERROR(INDEX('03.Muestra'!$H$8:$H$42,SMALL(IF("Página Web"='03.Muestra'!$D$8:$D$42,ROW('03.Muestra'!$H$8:$H$42)-MIN(ROW('03.Muestra'!$D$8:$D$42))+1,""),ROW()-2)),"")</f>
        <v>Ej. Imágenes, tablas, listas, multimedia, formularios, plantilla X, plantilla Y</v>
      </c>
      <c r="AA3" s="111" t="str">
        <f ca="1">RESULTADOS!E20</f>
        <v>N/A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Falla</v>
      </c>
      <c r="AX3" s="111" t="str">
        <f ca="1">RESULTADOS!AB20</f>
        <v>N/A</v>
      </c>
      <c r="AY3" s="111" t="str">
        <f ca="1">RESULTADOS!AC20</f>
        <v>N/A</v>
      </c>
      <c r="AZ3" s="111" t="str">
        <f ca="1">RESULTADOS!AD20</f>
        <v>N/A</v>
      </c>
      <c r="BA3" s="111" t="str">
        <f ca="1">RESULTADOS!AE20</f>
        <v>N/A</v>
      </c>
      <c r="BB3" s="111" t="str">
        <f ca="1">RESULTADOS!AF20</f>
        <v>Falla</v>
      </c>
      <c r="BC3" s="111" t="str">
        <f ca="1">RESULTADOS!AG20</f>
        <v>N/A</v>
      </c>
      <c r="BD3" s="111" t="str">
        <f ca="1">RESULTADOS!AH20</f>
        <v>N/A</v>
      </c>
      <c r="BE3" s="111" t="str">
        <f ca="1">RESULTADOS!AI20</f>
        <v>Falla</v>
      </c>
      <c r="BF3" s="111" t="str">
        <f ca="1">RESULTADOS!AJ20</f>
        <v>Pasa</v>
      </c>
      <c r="BG3" s="111" t="str">
        <f ca="1">RESULTADOS!AK20</f>
        <v>N/A</v>
      </c>
      <c r="BH3" s="111" t="str">
        <f ca="1">RESULTADOS!AL20</f>
        <v>Falla</v>
      </c>
      <c r="BI3" s="111" t="str">
        <f ca="1">RESULTADOS!AM20</f>
        <v>Falla</v>
      </c>
      <c r="BJ3" s="111" t="str">
        <f ca="1">RESULTADOS!AN20</f>
        <v>Falla</v>
      </c>
      <c r="BK3" s="111" t="str">
        <f ca="1">RESULTADOS!AO20</f>
        <v>Falla</v>
      </c>
      <c r="BL3" s="111" t="str">
        <f ca="1">RESULTADOS!AP20</f>
        <v>Falla</v>
      </c>
      <c r="BM3" s="111" t="str">
        <f ca="1">RESULTADOS!AQ20</f>
        <v>Falla</v>
      </c>
      <c r="BN3" s="111" t="str">
        <f ca="1">RESULTADOS!AR20</f>
        <v>Falla</v>
      </c>
      <c r="BO3" s="111" t="str">
        <f ca="1">RESULTADOS!AS20</f>
        <v>N/A</v>
      </c>
      <c r="BP3" s="111" t="str">
        <f ca="1">RESULTADOS!AT20</f>
        <v>Pasa</v>
      </c>
      <c r="BQ3" s="111" t="str">
        <f ca="1">RESULTADOS!AU20</f>
        <v>N/A</v>
      </c>
      <c r="BR3" s="111" t="str">
        <f ca="1">RESULTADOS!AV20</f>
        <v>Pasa</v>
      </c>
      <c r="BS3" s="111" t="str">
        <f ca="1">RESULTADOS!AW20</f>
        <v>Falla</v>
      </c>
      <c r="BT3" s="111" t="str">
        <f ca="1">RESULTADOS!AX20</f>
        <v>N/A</v>
      </c>
      <c r="BU3" s="111" t="str">
        <f ca="1">RESULTADOS!AY20</f>
        <v>Falla</v>
      </c>
      <c r="BV3" s="111" t="str">
        <f ca="1">RESULTADOS!AZ20</f>
        <v>Falla</v>
      </c>
      <c r="BW3" s="111" t="str">
        <f ca="1">RESULTADOS!BA20</f>
        <v>Pasa</v>
      </c>
      <c r="BX3" s="111" t="str">
        <f ca="1">RESULTADOS!BB20</f>
        <v>Falla</v>
      </c>
      <c r="BY3" s="111" t="str">
        <f ca="1">RESULTADOS!BC20</f>
        <v>Falla</v>
      </c>
      <c r="BZ3" s="111" t="str">
        <f ca="1">RESULTADOS!BD20</f>
        <v>Pasa</v>
      </c>
      <c r="CA3" s="111" t="str">
        <f ca="1">RESULTADOS!BE20</f>
        <v>N/A</v>
      </c>
      <c r="CB3" s="111" t="str">
        <f ca="1">RESULTADOS!BF20</f>
        <v>Pasa</v>
      </c>
      <c r="CC3" s="111" t="str">
        <f ca="1">RESULTADOS!BG20</f>
        <v>N/A</v>
      </c>
      <c r="CD3" s="111" t="str">
        <f ca="1">RESULTADOS!BH20</f>
        <v>N/A</v>
      </c>
      <c r="CE3" s="111" t="str">
        <f ca="1">RESULTADOS!BI20</f>
        <v>Pasa</v>
      </c>
      <c r="CF3" s="111" t="str">
        <f ca="1">RESULTADOS!BJ20</f>
        <v>Pasa</v>
      </c>
      <c r="CG3" s="111" t="str">
        <f ca="1">RESULTADOS!BK20</f>
        <v>Falla</v>
      </c>
      <c r="CH3" s="111" t="str">
        <f ca="1">RESULTADOS!BL20</f>
        <v>Falla</v>
      </c>
      <c r="CI3" s="111" t="str">
        <f ca="1">RESULTADOS!BM20</f>
        <v>Pasa</v>
      </c>
      <c r="CJ3" s="111" t="str">
        <f ca="1">RESULTADOS!BN20</f>
        <v>Pasa</v>
      </c>
      <c r="CK3" s="111" t="str">
        <f ca="1">RESULTADOS!BO20</f>
        <v>Falla</v>
      </c>
      <c r="CL3" s="111" t="str">
        <f ca="1">RESULTADOS!BP20</f>
        <v>N/A</v>
      </c>
      <c r="CM3" s="111" t="str">
        <f ca="1">RESULTADOS!BQ20</f>
        <v>Pasa</v>
      </c>
      <c r="CN3" s="111" t="str">
        <f ca="1">RESULTADOS!BR20</f>
        <v>Falla</v>
      </c>
      <c r="CO3" s="111" t="str">
        <f ca="1">RESULTADOS!BS20</f>
        <v>N/A</v>
      </c>
      <c r="CP3" s="111" t="str">
        <f ca="1">RESULTADOS!BT20</f>
        <v>Pasa</v>
      </c>
      <c r="CQ3" s="111" t="str">
        <f ca="1">RESULTADOS!BU20</f>
        <v>N/A</v>
      </c>
      <c r="CR3" s="111" t="str">
        <f ca="1">RESULTADOS!BV20</f>
        <v>Pasa</v>
      </c>
      <c r="CS3" s="111" t="str">
        <f ca="1">RESULTADOS!BW20</f>
        <v>Pasa</v>
      </c>
      <c r="CT3" s="111" t="str">
        <f ca="1">RESULTADOS!BX20</f>
        <v>Falla</v>
      </c>
      <c r="CU3" s="111" t="str">
        <f ca="1">RESULTADOS!BY20</f>
        <v>Pasa</v>
      </c>
      <c r="CV3" s="111" t="str">
        <f ca="1">RESULTADOS!BZ20</f>
        <v>N/A</v>
      </c>
      <c r="CW3" s="111" t="str">
        <f ca="1">RESULTADOS!CA20</f>
        <v>Pasa</v>
      </c>
      <c r="CX3" s="111" t="str">
        <f ca="1">RESULTADOS!CB20</f>
        <v>N/A</v>
      </c>
      <c r="CY3" s="111" t="str">
        <f ca="1">RESULTADOS!CC20</f>
        <v>N/A</v>
      </c>
      <c r="CZ3" s="111" t="str">
        <f ca="1">RESULTADOS!CD20</f>
        <v>N/A</v>
      </c>
      <c r="DA3" s="111" t="str">
        <f ca="1">RESULTADOS!CE20</f>
        <v>Pasa</v>
      </c>
      <c r="DB3" s="111" t="str">
        <f ca="1">RESULTADOS!CF20</f>
        <v>N/A</v>
      </c>
      <c r="DC3" s="111" t="str">
        <f ca="1">RESULTADOS!CG20</f>
        <v>Falla</v>
      </c>
      <c r="DD3" s="111" t="str">
        <f ca="1">RESULTADOS!CH20</f>
        <v>Falla</v>
      </c>
      <c r="DE3" s="111" t="str">
        <f ca="1">RESULTADOS!CI20</f>
        <v>N/A</v>
      </c>
      <c r="DF3" s="111" t="str">
        <f ca="1">RESULTADOS!CJ20</f>
        <v>N/A</v>
      </c>
      <c r="DG3" s="111" t="str">
        <f ca="1">RESULTADOS!CK20</f>
        <v>N/A</v>
      </c>
      <c r="DH3" s="111" t="str">
        <f ca="1">RESULTADOS!CL20</f>
        <v>N/A</v>
      </c>
      <c r="DI3" s="111" t="str">
        <f ca="1">RESULTADOS!CM20</f>
        <v>N/A</v>
      </c>
      <c r="DJ3" s="111" t="str">
        <f ca="1">RESULTADOS!CN20</f>
        <v>N/A</v>
      </c>
      <c r="DK3" s="111" t="str">
        <f ca="1">RESULTADOS!CO20</f>
        <v>N/A</v>
      </c>
      <c r="DL3" s="111" t="str">
        <f ca="1">RESULTADOS!CP20</f>
        <v>N/A</v>
      </c>
      <c r="DM3" s="111" t="str">
        <f ca="1">RESULTADOS!CQ20</f>
        <v>N/A</v>
      </c>
      <c r="DN3" s="111" t="str">
        <f ca="1">RESULTADOS!CR20</f>
        <v>N/A</v>
      </c>
      <c r="DO3" s="113" t="str">
        <f>RESULTADOS!B61</f>
        <v/>
      </c>
      <c r="DP3" s="113" t="str">
        <f>RESULTADOS!C61</f>
        <v/>
      </c>
      <c r="DQ3" s="113" t="str">
        <f>IF(DO3&lt;&gt;"","Documento no web","")</f>
        <v/>
      </c>
      <c r="DR3" s="113" t="str" cm="1">
        <f t="array" ref="DR3">IFERROR(INDEX('03.Muestra'!$E$8:$E$42,SMALL(IF("Documento no web"='03.Muestra'!$D$8:$D$42,ROW('03.Muestra'!$E$8:$E$42)-MIN(ROW('03.Muestra'!$D$8:$D$42))+1,""),ROW()-2)),"")</f>
        <v/>
      </c>
      <c r="DS3" s="113" t="str">
        <f>RESULTADOS!D61</f>
        <v/>
      </c>
      <c r="DT3" s="113" t="str" cm="1">
        <f t="array" ref="DT3">IFERROR(INDEX('03.Muestra'!$G$8:$G$42,SMALL(IF("Documento no web"='03.Muestra'!$D$8:$D$42,ROW('03.Muestra'!$G$8:$G$42)-MIN(ROW('03.Muestra'!$D$8:$D$42))+1,""),ROW()-2)),"")</f>
        <v/>
      </c>
      <c r="DU3" s="188" t="str" cm="1">
        <f t="array" ref="DU3">IFERROR(INDEX('03.Muestra'!$H$8:$H$42,SMALL(IF("Documento no web"='03.Muestra'!$D$8:$D$42,ROW('03.Muestra'!$H$8:$H$42)-MIN(ROW('03.Muestra'!$D$8:$D$42))+1,""),ROW()-2)),"")</f>
        <v/>
      </c>
      <c r="DV3" s="111" t="str">
        <f ca="1">RESULTADOS!E61</f>
        <v/>
      </c>
      <c r="DW3" s="111" t="str">
        <f ca="1">RESULTADOS!F61</f>
        <v/>
      </c>
      <c r="DX3" s="111" t="str">
        <f ca="1">RESULTADOS!G61</f>
        <v/>
      </c>
      <c r="DY3" s="111" t="str">
        <f ca="1">RESULTADOS!H61</f>
        <v/>
      </c>
      <c r="DZ3" s="111" t="str">
        <f ca="1">RESULTADOS!I61</f>
        <v/>
      </c>
      <c r="EA3" s="111" t="str">
        <f ca="1">RESULTADOS!J61</f>
        <v/>
      </c>
      <c r="EB3" s="111" t="str">
        <f ca="1">RESULTADOS!K61</f>
        <v/>
      </c>
      <c r="EC3" s="111" t="str">
        <f ca="1">RESULTADOS!L61</f>
        <v/>
      </c>
      <c r="ED3" s="111" t="str">
        <f ca="1">RESULTADOS!M61</f>
        <v/>
      </c>
      <c r="EE3" s="111" t="str">
        <f ca="1">RESULTADOS!N61</f>
        <v/>
      </c>
      <c r="EF3" s="111" t="str">
        <f ca="1">RESULTADOS!O61</f>
        <v/>
      </c>
      <c r="EG3" s="111" t="str">
        <f ca="1">RESULTADOS!P61</f>
        <v/>
      </c>
      <c r="EH3" s="111" t="str">
        <f ca="1">RESULTADOS!Q61</f>
        <v/>
      </c>
      <c r="EI3" s="111" t="str">
        <f ca="1">RESULTADOS!R61</f>
        <v/>
      </c>
      <c r="EJ3" s="111" t="str">
        <f ca="1">RESULTADOS!S61</f>
        <v/>
      </c>
      <c r="EK3" s="111" t="str">
        <f ca="1">RESULTADOS!T61</f>
        <v/>
      </c>
      <c r="EL3" s="111" t="str">
        <f ca="1">RESULTADOS!U61</f>
        <v/>
      </c>
      <c r="EM3" s="111" t="str">
        <f ca="1">RESULTADOS!V61</f>
        <v/>
      </c>
      <c r="EN3" s="111" t="str">
        <f ca="1">RESULTADOS!W61</f>
        <v/>
      </c>
      <c r="EO3" s="111" t="str">
        <f ca="1">RESULTADOS!X61</f>
        <v/>
      </c>
      <c r="EP3" s="111" t="str">
        <f ca="1">RESULTADOS!Y61</f>
        <v/>
      </c>
      <c r="EQ3" s="111" t="str">
        <f ca="1">RESULTADOS!Z61</f>
        <v/>
      </c>
      <c r="ER3" s="111" t="str">
        <f ca="1">RESULTADOS!AA61</f>
        <v/>
      </c>
      <c r="ES3" s="111" t="str">
        <f ca="1">RESULTADOS!AB61</f>
        <v/>
      </c>
      <c r="ET3" s="111" t="str">
        <f ca="1">RESULTADOS!AC61</f>
        <v/>
      </c>
      <c r="EU3" s="111" t="str">
        <f ca="1">RESULTADOS!AD61</f>
        <v/>
      </c>
      <c r="EV3" s="111" t="str">
        <f ca="1">RESULTADOS!AE61</f>
        <v/>
      </c>
      <c r="EW3" s="111" t="str">
        <f ca="1">RESULTADOS!AF61</f>
        <v/>
      </c>
      <c r="EX3" s="111" t="str">
        <f ca="1">RESULTADOS!AG61</f>
        <v/>
      </c>
      <c r="EY3" s="111" t="str">
        <f ca="1">RESULTADOS!AH61</f>
        <v/>
      </c>
      <c r="EZ3" s="111" t="str">
        <f ca="1">RESULTADOS!AI61</f>
        <v/>
      </c>
      <c r="FA3" s="111" t="str">
        <f ca="1">RESULTADOS!AJ61</f>
        <v/>
      </c>
      <c r="FB3" s="111" t="str">
        <f ca="1">RESULTADOS!AK61</f>
        <v/>
      </c>
      <c r="FC3" s="111" t="str">
        <f ca="1">RESULTADOS!AL61</f>
        <v/>
      </c>
      <c r="FD3" s="111" t="str">
        <f ca="1">RESULTADOS!AM61</f>
        <v/>
      </c>
      <c r="FE3" s="111" t="str">
        <f ca="1">RESULTADOS!AN61</f>
        <v/>
      </c>
      <c r="FF3" s="111" t="str">
        <f ca="1">RESULTADOS!AO61</f>
        <v/>
      </c>
      <c r="FG3" s="111" t="str">
        <f ca="1">RESULTADOS!AP61</f>
        <v/>
      </c>
      <c r="FH3" s="111" t="str">
        <f ca="1">RESULTADOS!AQ61</f>
        <v/>
      </c>
      <c r="FI3" s="111" t="str">
        <f ca="1">RESULTADOS!AR61</f>
        <v/>
      </c>
      <c r="FJ3" s="111" t="str">
        <f ca="1">RESULTADOS!AS61</f>
        <v/>
      </c>
      <c r="FK3" s="111" t="str">
        <f ca="1">RESULTADOS!AT61</f>
        <v/>
      </c>
      <c r="FL3" s="111" t="str">
        <f ca="1">RESULTADOS!AU61</f>
        <v/>
      </c>
      <c r="FM3" s="111" t="str">
        <f ca="1">RESULTADOS!AV61</f>
        <v/>
      </c>
      <c r="FN3" s="111" t="str">
        <f ca="1">RESULTADOS!AW61</f>
        <v/>
      </c>
    </row>
    <row r="4" spans="1:170" ht="13">
      <c r="C4" s="109" t="s">
        <v>16</v>
      </c>
      <c r="D4" s="112" t="str">
        <f>'01.Definición de ámbito'!C11</f>
        <v>COMUNIDAD DE MADRID</v>
      </c>
      <c r="E4" s="109" t="s">
        <v>67</v>
      </c>
      <c r="F4" s="112" t="str">
        <f>'02.Tecnologías'!C11</f>
        <v>No</v>
      </c>
      <c r="G4" s="112">
        <f>'02.Tecnologías'!K14</f>
        <v>0</v>
      </c>
      <c r="H4" s="112">
        <f>'02.Tecnologías'!L14</f>
        <v>0</v>
      </c>
      <c r="I4" s="162"/>
      <c r="J4" s="162"/>
      <c r="K4" s="118" t="s">
        <v>540</v>
      </c>
      <c r="L4" s="163">
        <f>'03.Muestra'!D49</f>
        <v>2</v>
      </c>
      <c r="M4" s="109"/>
      <c r="T4" s="113">
        <f>RESULTADOS!B21</f>
        <v>2</v>
      </c>
      <c r="U4" s="113" t="str">
        <f>RESULTADOS!C21</f>
        <v>Resultado Elecciones 28M 2023</v>
      </c>
      <c r="V4" s="113" t="str">
        <f t="shared" ref="V4:V37" si="0">IF(T4&lt;&gt;"","Página web","")</f>
        <v>Página web</v>
      </c>
      <c r="W4" s="113" t="str">
        <v>Pagina tipo</v>
      </c>
      <c r="X4" s="113" t="str">
        <f>RESULTADOS!D21</f>
        <v>https://elecciones.comunidad.madrid/es/resultados-elecciones-asamblea-madrid-28m-2023</v>
      </c>
      <c r="Y4" s="113" t="str">
        <v>Home &gt; Resultados &gt; Elecciones Asamblea de Madrid 28M 2023</v>
      </c>
      <c r="Z4" s="188" t="str">
        <v>Formulario</v>
      </c>
      <c r="AA4" s="111" t="str">
        <f ca="1">RESULTADOS!E21</f>
        <v>Falla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N/A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Pasa</v>
      </c>
      <c r="BG4" s="111" t="str">
        <f ca="1">RESULTADOS!AK21</f>
        <v>N/A</v>
      </c>
      <c r="BH4" s="111" t="str">
        <f ca="1">RESULTADOS!AL21</f>
        <v>N/A</v>
      </c>
      <c r="BI4" s="111" t="str">
        <f ca="1">RESULTADOS!AM21</f>
        <v>N/A</v>
      </c>
      <c r="BJ4" s="111" t="str">
        <f ca="1">RESULTADOS!AN21</f>
        <v>N/A</v>
      </c>
      <c r="BK4" s="111" t="str">
        <f ca="1">RESULTADOS!AO21</f>
        <v>Falla</v>
      </c>
      <c r="BL4" s="111" t="str">
        <f ca="1">RESULTADOS!AP21</f>
        <v>Falla</v>
      </c>
      <c r="BM4" s="111" t="str">
        <f ca="1">RESULTADOS!AQ21</f>
        <v>Falla</v>
      </c>
      <c r="BN4" s="111" t="str">
        <f ca="1">RESULTADOS!AR21</f>
        <v>Falla</v>
      </c>
      <c r="BO4" s="111" t="str">
        <f ca="1">RESULTADOS!AS21</f>
        <v>N/A</v>
      </c>
      <c r="BP4" s="111" t="str">
        <f ca="1">RESULTADOS!AT21</f>
        <v>Pasa</v>
      </c>
      <c r="BQ4" s="111" t="str">
        <f ca="1">RESULTADOS!AU21</f>
        <v>N/A</v>
      </c>
      <c r="BR4" s="111" t="str">
        <f ca="1">RESULTADOS!AV21</f>
        <v>Pasa</v>
      </c>
      <c r="BS4" s="111" t="str">
        <f ca="1">RESULTADOS!AW21</f>
        <v>Falla</v>
      </c>
      <c r="BT4" s="111" t="str">
        <f ca="1">RESULTADOS!AX21</f>
        <v>Pasa</v>
      </c>
      <c r="BU4" s="111" t="str">
        <f ca="1">RESULTADOS!AY21</f>
        <v>Falla</v>
      </c>
      <c r="BV4" s="111" t="str">
        <f ca="1">RESULTADOS!AZ21</f>
        <v>Falla</v>
      </c>
      <c r="BW4" s="111" t="str">
        <f ca="1">RESULTADOS!BA21</f>
        <v>Pasa</v>
      </c>
      <c r="BX4" s="111" t="str">
        <f ca="1">RESULTADOS!BB21</f>
        <v>Falla</v>
      </c>
      <c r="BY4" s="111" t="str">
        <f ca="1">RESULTADOS!BC21</f>
        <v>Falla</v>
      </c>
      <c r="BZ4" s="111" t="str">
        <f ca="1">RESULTADOS!BD21</f>
        <v>Pasa</v>
      </c>
      <c r="CA4" s="111" t="str">
        <f ca="1">RESULTADOS!BE21</f>
        <v>N/A</v>
      </c>
      <c r="CB4" s="111" t="str">
        <f ca="1">RESULTADOS!BF21</f>
        <v>Pasa</v>
      </c>
      <c r="CC4" s="111" t="str">
        <f ca="1">RESULTADOS!BG21</f>
        <v>N/A</v>
      </c>
      <c r="CD4" s="111" t="str">
        <f ca="1">RESULTADOS!BH21</f>
        <v>N/A</v>
      </c>
      <c r="CE4" s="111" t="str">
        <f ca="1">RESULTADOS!BI21</f>
        <v>Pasa</v>
      </c>
      <c r="CF4" s="111" t="str">
        <f ca="1">RESULTADOS!BJ21</f>
        <v>Pasa</v>
      </c>
      <c r="CG4" s="111" t="str">
        <f ca="1">RESULTADOS!BK21</f>
        <v>Falla</v>
      </c>
      <c r="CH4" s="111" t="str">
        <f ca="1">RESULTADOS!BL21</f>
        <v>Falla</v>
      </c>
      <c r="CI4" s="111" t="str">
        <f ca="1">RESULTADOS!BM21</f>
        <v>Pasa</v>
      </c>
      <c r="CJ4" s="111" t="str">
        <f ca="1">RESULTADOS!BN21</f>
        <v>Pasa</v>
      </c>
      <c r="CK4" s="111" t="str">
        <f ca="1">RESULTADOS!BO21</f>
        <v>Falla</v>
      </c>
      <c r="CL4" s="111" t="str">
        <f ca="1">RESULTADOS!BP21</f>
        <v>N/A</v>
      </c>
      <c r="CM4" s="111" t="str">
        <f ca="1">RESULTADOS!BQ21</f>
        <v>Pasa</v>
      </c>
      <c r="CN4" s="111" t="str">
        <f ca="1">RESULTADOS!BR21</f>
        <v>Falla</v>
      </c>
      <c r="CO4" s="111" t="str">
        <f ca="1">RESULTADOS!BS21</f>
        <v>N/A</v>
      </c>
      <c r="CP4" s="111" t="str">
        <f ca="1">RESULTADOS!BT21</f>
        <v>Pasa</v>
      </c>
      <c r="CQ4" s="111" t="str">
        <f ca="1">RESULTADOS!BU21</f>
        <v>N/A</v>
      </c>
      <c r="CR4" s="111" t="str">
        <f ca="1">RESULTADOS!BV21</f>
        <v>Pasa</v>
      </c>
      <c r="CS4" s="111" t="str">
        <f ca="1">RESULTADOS!BW21</f>
        <v>Pasa</v>
      </c>
      <c r="CT4" s="111" t="str">
        <f ca="1">RESULTADOS!BX21</f>
        <v>Pasa</v>
      </c>
      <c r="CU4" s="111" t="str">
        <f ca="1">RESULTADOS!BY21</f>
        <v>Pasa</v>
      </c>
      <c r="CV4" s="111" t="str">
        <f ca="1">RESULTADOS!BZ21</f>
        <v>N/A</v>
      </c>
      <c r="CW4" s="111" t="str">
        <f ca="1">RESULTADOS!CA21</f>
        <v>Pasa</v>
      </c>
      <c r="CX4" s="111" t="str">
        <f ca="1">RESULTADOS!CB21</f>
        <v>N/A</v>
      </c>
      <c r="CY4" s="111" t="str">
        <f ca="1">RESULTADOS!CC21</f>
        <v>N/A</v>
      </c>
      <c r="CZ4" s="111" t="str">
        <f ca="1">RESULTADOS!CD21</f>
        <v>N/A</v>
      </c>
      <c r="DA4" s="111" t="str">
        <f ca="1">RESULTADOS!CE21</f>
        <v>Falla</v>
      </c>
      <c r="DB4" s="111" t="str">
        <f ca="1">RESULTADOS!CF21</f>
        <v>N/A</v>
      </c>
      <c r="DC4" s="111" t="str">
        <f ca="1">RESULTADOS!CG21</f>
        <v>Falla</v>
      </c>
      <c r="DD4" s="111" t="str">
        <f ca="1">RESULTADOS!CH21</f>
        <v>Falla</v>
      </c>
      <c r="DE4" s="111" t="str">
        <f ca="1">RESULTADOS!CI21</f>
        <v>N/A</v>
      </c>
      <c r="DF4" s="111" t="str">
        <f ca="1">RESULTADOS!CJ21</f>
        <v>N/A</v>
      </c>
      <c r="DG4" s="111" t="str">
        <f ca="1">RESULTADOS!CK21</f>
        <v>N/A</v>
      </c>
      <c r="DH4" s="111" t="str">
        <f ca="1">RESULTADOS!CL21</f>
        <v>N/A</v>
      </c>
      <c r="DI4" s="111" t="str">
        <f ca="1">RESULTADOS!CM21</f>
        <v>N/A</v>
      </c>
      <c r="DJ4" s="111" t="str">
        <f ca="1">RESULTADOS!CN21</f>
        <v>N/A</v>
      </c>
      <c r="DK4" s="111" t="str">
        <f ca="1">RESULTADOS!CO21</f>
        <v>N/A</v>
      </c>
      <c r="DL4" s="111" t="str">
        <f ca="1">RESULTADOS!CP21</f>
        <v>N/A</v>
      </c>
      <c r="DM4" s="111" t="str">
        <f ca="1">RESULTADOS!CQ21</f>
        <v>N/A</v>
      </c>
      <c r="DN4" s="111" t="str">
        <f ca="1">RESULTADOS!CR21</f>
        <v>N/A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ht="13">
      <c r="C5" s="109" t="s">
        <v>17</v>
      </c>
      <c r="D5" s="112" t="str">
        <f>'01.Definición de ámbito'!C13</f>
        <v>A13002908</v>
      </c>
      <c r="E5" s="109" t="s">
        <v>70</v>
      </c>
      <c r="F5" s="112" t="str">
        <f>'02.Tecnologías'!C12</f>
        <v>Sí</v>
      </c>
      <c r="G5" s="112">
        <f>'02.Tecnologías'!K15</f>
        <v>0</v>
      </c>
      <c r="H5" s="112">
        <f>'02.Tecnologías'!L15</f>
        <v>0</v>
      </c>
      <c r="I5" s="162"/>
      <c r="J5" s="162"/>
      <c r="K5" s="118" t="s">
        <v>541</v>
      </c>
      <c r="L5" s="163" t="str">
        <f>'03.Muestra'!D52</f>
        <v>SI</v>
      </c>
      <c r="M5" s="109"/>
      <c r="T5" s="113">
        <f>RESULTADOS!B22</f>
        <v>3</v>
      </c>
      <c r="U5" s="113" t="str">
        <f>RESULTADOS!C22</f>
        <v>Normativa electoral</v>
      </c>
      <c r="V5" s="113" t="str">
        <f t="shared" si="0"/>
        <v>Página web</v>
      </c>
      <c r="W5" s="113" t="str">
        <v>Pagina tipo</v>
      </c>
      <c r="X5" s="113" t="str">
        <f>RESULTADOS!D22</f>
        <v>https://elecciones.comunidad.madrid/es/informacion-electoral/normativa-electoral</v>
      </c>
      <c r="Y5" s="113" t="str">
        <v>Home &gt; Información electoral &gt; Normativa electoral</v>
      </c>
      <c r="Z5" s="188">
        <v>0</v>
      </c>
      <c r="AA5" s="111" t="str">
        <f ca="1">RESULTADOS!E22</f>
        <v>Falla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N/A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Pasa</v>
      </c>
      <c r="BG5" s="111" t="str">
        <f ca="1">RESULTADOS!AK22</f>
        <v>N/A</v>
      </c>
      <c r="BH5" s="111" t="str">
        <f ca="1">RESULTADOS!AL22</f>
        <v>N/A</v>
      </c>
      <c r="BI5" s="111" t="str">
        <f ca="1">RESULTADOS!AM22</f>
        <v>N/A</v>
      </c>
      <c r="BJ5" s="111" t="str">
        <f ca="1">RESULTADOS!AN22</f>
        <v>N/A</v>
      </c>
      <c r="BK5" s="111" t="str">
        <f ca="1">RESULTADOS!AO22</f>
        <v>Falla</v>
      </c>
      <c r="BL5" s="111" t="str">
        <f ca="1">RESULTADOS!AP22</f>
        <v>Falla</v>
      </c>
      <c r="BM5" s="111" t="str">
        <f ca="1">RESULTADOS!AQ22</f>
        <v>Falla</v>
      </c>
      <c r="BN5" s="111" t="str">
        <f ca="1">RESULTADOS!AR22</f>
        <v>Falla</v>
      </c>
      <c r="BO5" s="111" t="str">
        <f ca="1">RESULTADOS!AS22</f>
        <v>N/A</v>
      </c>
      <c r="BP5" s="111" t="str">
        <f ca="1">RESULTADOS!AT22</f>
        <v>Pasa</v>
      </c>
      <c r="BQ5" s="111" t="str">
        <f ca="1">RESULTADOS!AU22</f>
        <v>N/A</v>
      </c>
      <c r="BR5" s="111" t="str">
        <f ca="1">RESULTADOS!AV22</f>
        <v>Pasa</v>
      </c>
      <c r="BS5" s="111" t="str">
        <f ca="1">RESULTADOS!AW22</f>
        <v>Falla</v>
      </c>
      <c r="BT5" s="111" t="str">
        <f ca="1">RESULTADOS!AX22</f>
        <v>N/A</v>
      </c>
      <c r="BU5" s="111" t="str">
        <f ca="1">RESULTADOS!AY22</f>
        <v>Falla</v>
      </c>
      <c r="BV5" s="111" t="str">
        <f ca="1">RESULTADOS!AZ22</f>
        <v>Falla</v>
      </c>
      <c r="BW5" s="111" t="str">
        <f ca="1">RESULTADOS!BA22</f>
        <v>Pasa</v>
      </c>
      <c r="BX5" s="111" t="str">
        <f ca="1">RESULTADOS!BB22</f>
        <v>Falla</v>
      </c>
      <c r="BY5" s="111" t="str">
        <f ca="1">RESULTADOS!BC22</f>
        <v>Falla</v>
      </c>
      <c r="BZ5" s="111" t="str">
        <f ca="1">RESULTADOS!BD22</f>
        <v>Pasa</v>
      </c>
      <c r="CA5" s="111" t="str">
        <f ca="1">RESULTADOS!BE22</f>
        <v>N/A</v>
      </c>
      <c r="CB5" s="111" t="str">
        <f ca="1">RESULTADOS!BF22</f>
        <v>Pasa</v>
      </c>
      <c r="CC5" s="111" t="str">
        <f ca="1">RESULTADOS!BG22</f>
        <v>N/A</v>
      </c>
      <c r="CD5" s="111" t="str">
        <f ca="1">RESULTADOS!BH22</f>
        <v>N/A</v>
      </c>
      <c r="CE5" s="111" t="str">
        <f ca="1">RESULTADOS!BI22</f>
        <v>Pasa</v>
      </c>
      <c r="CF5" s="111" t="str">
        <f ca="1">RESULTADOS!BJ22</f>
        <v>Pasa</v>
      </c>
      <c r="CG5" s="111" t="str">
        <f ca="1">RESULTADOS!BK22</f>
        <v>Falla</v>
      </c>
      <c r="CH5" s="111" t="str">
        <f ca="1">RESULTADOS!BL22</f>
        <v>Falla</v>
      </c>
      <c r="CI5" s="111" t="str">
        <f ca="1">RESULTADOS!BM22</f>
        <v>Pasa</v>
      </c>
      <c r="CJ5" s="111" t="str">
        <f ca="1">RESULTADOS!BN22</f>
        <v>Pasa</v>
      </c>
      <c r="CK5" s="111" t="str">
        <f ca="1">RESULTADOS!BO22</f>
        <v>Falla</v>
      </c>
      <c r="CL5" s="111" t="str">
        <f ca="1">RESULTADOS!BP22</f>
        <v>N/A</v>
      </c>
      <c r="CM5" s="111" t="str">
        <f ca="1">RESULTADOS!BQ22</f>
        <v>Pasa</v>
      </c>
      <c r="CN5" s="111" t="str">
        <f ca="1">RESULTADOS!BR22</f>
        <v>Falla</v>
      </c>
      <c r="CO5" s="111" t="str">
        <f ca="1">RESULTADOS!BS22</f>
        <v>N/A</v>
      </c>
      <c r="CP5" s="111" t="str">
        <f ca="1">RESULTADOS!BT22</f>
        <v>Pasa</v>
      </c>
      <c r="CQ5" s="111" t="str">
        <f ca="1">RESULTADOS!BU22</f>
        <v>N/A</v>
      </c>
      <c r="CR5" s="111" t="str">
        <f ca="1">RESULTADOS!BV22</f>
        <v>Pasa</v>
      </c>
      <c r="CS5" s="111" t="str">
        <f ca="1">RESULTADOS!BW22</f>
        <v>Pasa</v>
      </c>
      <c r="CT5" s="111" t="str">
        <f ca="1">RESULTADOS!BX22</f>
        <v>Pasa</v>
      </c>
      <c r="CU5" s="111" t="str">
        <f ca="1">RESULTADOS!BY22</f>
        <v>Pasa</v>
      </c>
      <c r="CV5" s="111" t="str">
        <f ca="1">RESULTADOS!BZ22</f>
        <v>N/A</v>
      </c>
      <c r="CW5" s="111" t="str">
        <f ca="1">RESULTADOS!CA22</f>
        <v>Pasa</v>
      </c>
      <c r="CX5" s="111" t="str">
        <f ca="1">RESULTADOS!CB22</f>
        <v>N/A</v>
      </c>
      <c r="CY5" s="111" t="str">
        <f ca="1">RESULTADOS!CC22</f>
        <v>N/A</v>
      </c>
      <c r="CZ5" s="111" t="str">
        <f ca="1">RESULTADOS!CD22</f>
        <v>N/A</v>
      </c>
      <c r="DA5" s="111" t="str">
        <f ca="1">RESULTADOS!CE22</f>
        <v>Pasa</v>
      </c>
      <c r="DB5" s="111" t="str">
        <f ca="1">RESULTADOS!CF22</f>
        <v>N/A</v>
      </c>
      <c r="DC5" s="111" t="str">
        <f ca="1">RESULTADOS!CG22</f>
        <v>Falla</v>
      </c>
      <c r="DD5" s="111" t="str">
        <f ca="1">RESULTADOS!CH22</f>
        <v>Falla</v>
      </c>
      <c r="DE5" s="111" t="str">
        <f ca="1">RESULTADOS!CI22</f>
        <v>N/A</v>
      </c>
      <c r="DF5" s="111" t="str">
        <f ca="1">RESULTADOS!CJ22</f>
        <v>N/A</v>
      </c>
      <c r="DG5" s="111" t="str">
        <f ca="1">RESULTADOS!CK22</f>
        <v>N/A</v>
      </c>
      <c r="DH5" s="111" t="str">
        <f ca="1">RESULTADOS!CL22</f>
        <v>N/A</v>
      </c>
      <c r="DI5" s="111" t="str">
        <f ca="1">RESULTADOS!CM22</f>
        <v>N/A</v>
      </c>
      <c r="DJ5" s="111" t="str">
        <f ca="1">RESULTADOS!CN22</f>
        <v>N/A</v>
      </c>
      <c r="DK5" s="111" t="str">
        <f ca="1">RESULTADOS!CO22</f>
        <v>N/A</v>
      </c>
      <c r="DL5" s="111" t="str">
        <f ca="1">RESULTADOS!CP22</f>
        <v>N/A</v>
      </c>
      <c r="DM5" s="111" t="str">
        <f ca="1">RESULTADOS!CQ22</f>
        <v>N/A</v>
      </c>
      <c r="DN5" s="111" t="str">
        <f ca="1">RESULTADOS!CR22</f>
        <v>N/A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ht="13">
      <c r="C6" s="109" t="s">
        <v>18</v>
      </c>
      <c r="D6" s="112" t="str">
        <f>'01.Definición de ámbito'!C17</f>
        <v>MADRID DIGITAL</v>
      </c>
      <c r="E6" s="109" t="s">
        <v>75</v>
      </c>
      <c r="F6" s="112" t="str">
        <f>'02.Tecnologías'!C13</f>
        <v>Sí</v>
      </c>
      <c r="G6" s="112">
        <f>'02.Tecnologías'!K16</f>
        <v>0</v>
      </c>
      <c r="H6" s="112">
        <f>'02.Tecnologías'!L16</f>
        <v>0</v>
      </c>
      <c r="I6" s="162"/>
      <c r="J6" s="162"/>
      <c r="K6" s="109"/>
      <c r="L6" s="109"/>
      <c r="M6" s="109"/>
      <c r="T6" s="113">
        <f>RESULTADOS!B23</f>
        <v>4</v>
      </c>
      <c r="U6" s="113" t="str">
        <f>RESULTADOS!C23</f>
        <v>Calendario electoral</v>
      </c>
      <c r="V6" s="113" t="str">
        <f t="shared" si="0"/>
        <v>Página web</v>
      </c>
      <c r="W6" s="113" t="str">
        <v>Otras páginas</v>
      </c>
      <c r="X6" s="113" t="str">
        <f>RESULTADOS!D23</f>
        <v>https://elecciones.comunidad.madrid/es/informacion-electoral/calendario-electoral</v>
      </c>
      <c r="Y6" s="113" t="str">
        <v>Home &gt; Información electoral &gt; Calendario electoral</v>
      </c>
      <c r="Z6" s="188" t="str">
        <v xml:space="preserve"> </v>
      </c>
      <c r="AA6" s="111" t="str">
        <f ca="1">RESULTADOS!E23</f>
        <v>Falla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N/A</v>
      </c>
      <c r="AX6" s="111" t="str">
        <f ca="1">RESULTADOS!AB23</f>
        <v>N/A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Pasa</v>
      </c>
      <c r="BG6" s="111" t="str">
        <f ca="1">RESULTADOS!AK23</f>
        <v>N/A</v>
      </c>
      <c r="BH6" s="111" t="str">
        <f ca="1">RESULTADOS!AL23</f>
        <v>N/A</v>
      </c>
      <c r="BI6" s="111" t="str">
        <f ca="1">RESULTADOS!AM23</f>
        <v>N/A</v>
      </c>
      <c r="BJ6" s="111" t="str">
        <f ca="1">RESULTADOS!AN23</f>
        <v>N/A</v>
      </c>
      <c r="BK6" s="111" t="str">
        <f ca="1">RESULTADOS!AO23</f>
        <v>Falla</v>
      </c>
      <c r="BL6" s="111" t="str">
        <f ca="1">RESULTADOS!AP23</f>
        <v>Falla</v>
      </c>
      <c r="BM6" s="111" t="str">
        <f ca="1">RESULTADOS!AQ23</f>
        <v>Falla</v>
      </c>
      <c r="BN6" s="111" t="str">
        <f ca="1">RESULTADOS!AR23</f>
        <v>Falla</v>
      </c>
      <c r="BO6" s="111" t="str">
        <f ca="1">RESULTADOS!AS23</f>
        <v>N/A</v>
      </c>
      <c r="BP6" s="111" t="str">
        <f ca="1">RESULTADOS!AT23</f>
        <v>Pasa</v>
      </c>
      <c r="BQ6" s="111" t="str">
        <f ca="1">RESULTADOS!AU23</f>
        <v>N/A</v>
      </c>
      <c r="BR6" s="111" t="str">
        <f ca="1">RESULTADOS!AV23</f>
        <v>Pasa</v>
      </c>
      <c r="BS6" s="111" t="str">
        <f ca="1">RESULTADOS!AW23</f>
        <v>Falla</v>
      </c>
      <c r="BT6" s="111" t="str">
        <f ca="1">RESULTADOS!AX23</f>
        <v>N/A</v>
      </c>
      <c r="BU6" s="111" t="str">
        <f ca="1">RESULTADOS!AY23</f>
        <v>Falla</v>
      </c>
      <c r="BV6" s="111" t="str">
        <f ca="1">RESULTADOS!AZ23</f>
        <v>Falla</v>
      </c>
      <c r="BW6" s="111" t="str">
        <f ca="1">RESULTADOS!BA23</f>
        <v>Pasa</v>
      </c>
      <c r="BX6" s="111" t="str">
        <f ca="1">RESULTADOS!BB23</f>
        <v>Falla</v>
      </c>
      <c r="BY6" s="111" t="str">
        <f ca="1">RESULTADOS!BC23</f>
        <v>Falla</v>
      </c>
      <c r="BZ6" s="111" t="str">
        <f ca="1">RESULTADOS!BD23</f>
        <v>Pasa</v>
      </c>
      <c r="CA6" s="111" t="str">
        <f ca="1">RESULTADOS!BE23</f>
        <v>N/A</v>
      </c>
      <c r="CB6" s="111" t="str">
        <f ca="1">RESULTADOS!BF23</f>
        <v>Pasa</v>
      </c>
      <c r="CC6" s="111" t="str">
        <f ca="1">RESULTADOS!BG23</f>
        <v>N/A</v>
      </c>
      <c r="CD6" s="111" t="str">
        <f ca="1">RESULTADOS!BH23</f>
        <v>N/A</v>
      </c>
      <c r="CE6" s="111" t="str">
        <f ca="1">RESULTADOS!BI23</f>
        <v>Pasa</v>
      </c>
      <c r="CF6" s="111" t="str">
        <f ca="1">RESULTADOS!BJ23</f>
        <v>Pasa</v>
      </c>
      <c r="CG6" s="111" t="str">
        <f ca="1">RESULTADOS!BK23</f>
        <v>Falla</v>
      </c>
      <c r="CH6" s="111" t="str">
        <f ca="1">RESULTADOS!BL23</f>
        <v>Falla</v>
      </c>
      <c r="CI6" s="111" t="str">
        <f ca="1">RESULTADOS!BM23</f>
        <v>Pasa</v>
      </c>
      <c r="CJ6" s="111" t="str">
        <f ca="1">RESULTADOS!BN23</f>
        <v>Pasa</v>
      </c>
      <c r="CK6" s="111" t="str">
        <f ca="1">RESULTADOS!BO23</f>
        <v>Falla</v>
      </c>
      <c r="CL6" s="111" t="str">
        <f ca="1">RESULTADOS!BP23</f>
        <v>N/A</v>
      </c>
      <c r="CM6" s="111" t="str">
        <f ca="1">RESULTADOS!BQ23</f>
        <v>Pasa</v>
      </c>
      <c r="CN6" s="111" t="str">
        <f ca="1">RESULTADOS!BR23</f>
        <v>Falla</v>
      </c>
      <c r="CO6" s="111" t="str">
        <f ca="1">RESULTADOS!BS23</f>
        <v>N/A</v>
      </c>
      <c r="CP6" s="111" t="str">
        <f ca="1">RESULTADOS!BT23</f>
        <v>Pasa</v>
      </c>
      <c r="CQ6" s="111" t="str">
        <f ca="1">RESULTADOS!BU23</f>
        <v>N/A</v>
      </c>
      <c r="CR6" s="111" t="str">
        <f ca="1">RESULTADOS!BV23</f>
        <v>Pasa</v>
      </c>
      <c r="CS6" s="111" t="str">
        <f ca="1">RESULTADOS!BW23</f>
        <v>Pasa</v>
      </c>
      <c r="CT6" s="111" t="str">
        <f ca="1">RESULTADOS!BX23</f>
        <v>Pasa</v>
      </c>
      <c r="CU6" s="111" t="str">
        <f ca="1">RESULTADOS!BY23</f>
        <v>Pasa</v>
      </c>
      <c r="CV6" s="111" t="str">
        <f ca="1">RESULTADOS!BZ23</f>
        <v>N/A</v>
      </c>
      <c r="CW6" s="111" t="str">
        <f ca="1">RESULTADOS!CA23</f>
        <v>Pasa</v>
      </c>
      <c r="CX6" s="111" t="str">
        <f ca="1">RESULTADOS!CB23</f>
        <v>N/A</v>
      </c>
      <c r="CY6" s="111" t="str">
        <f ca="1">RESULTADOS!CC23</f>
        <v>N/A</v>
      </c>
      <c r="CZ6" s="111" t="str">
        <f ca="1">RESULTADOS!CD23</f>
        <v>N/A</v>
      </c>
      <c r="DA6" s="111" t="str">
        <f ca="1">RESULTADOS!CE23</f>
        <v>Pasa</v>
      </c>
      <c r="DB6" s="111" t="str">
        <f ca="1">RESULTADOS!CF23</f>
        <v>N/A</v>
      </c>
      <c r="DC6" s="111" t="str">
        <f ca="1">RESULTADOS!CG23</f>
        <v>Falla</v>
      </c>
      <c r="DD6" s="111" t="str">
        <f ca="1">RESULTADOS!CH23</f>
        <v>Falla</v>
      </c>
      <c r="DE6" s="111" t="str">
        <f ca="1">RESULTADOS!CI23</f>
        <v>N/A</v>
      </c>
      <c r="DF6" s="111" t="str">
        <f ca="1">RESULTADOS!CJ23</f>
        <v>N/A</v>
      </c>
      <c r="DG6" s="111" t="str">
        <f ca="1">RESULTADOS!CK23</f>
        <v>N/A</v>
      </c>
      <c r="DH6" s="111" t="str">
        <f ca="1">RESULTADOS!CL23</f>
        <v>N/A</v>
      </c>
      <c r="DI6" s="111" t="str">
        <f ca="1">RESULTADOS!CM23</f>
        <v>N/A</v>
      </c>
      <c r="DJ6" s="111" t="str">
        <f ca="1">RESULTADOS!CN23</f>
        <v>N/A</v>
      </c>
      <c r="DK6" s="111" t="str">
        <f ca="1">RESULTADOS!CO23</f>
        <v>N/A</v>
      </c>
      <c r="DL6" s="111" t="str">
        <f ca="1">RESULTADOS!CP23</f>
        <v>N/A</v>
      </c>
      <c r="DM6" s="111" t="str">
        <f ca="1">RESULTADOS!CQ23</f>
        <v>N/A</v>
      </c>
      <c r="DN6" s="111" t="str">
        <f ca="1">RESULTADOS!CR23</f>
        <v>N/A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ht="13">
      <c r="C7" s="109" t="s">
        <v>19</v>
      </c>
      <c r="D7" s="112" t="str">
        <f>'01.Definición de ámbito'!C19</f>
        <v>A13033692</v>
      </c>
      <c r="E7" s="109" t="s">
        <v>62</v>
      </c>
      <c r="F7" s="112" t="str">
        <f>'02.Tecnologías'!F9</f>
        <v>No</v>
      </c>
      <c r="G7" s="112">
        <f>'02.Tecnologías'!K17</f>
        <v>0</v>
      </c>
      <c r="H7" s="112">
        <f>'02.Tecnologías'!L17</f>
        <v>0</v>
      </c>
      <c r="I7" s="162"/>
      <c r="J7" s="162"/>
      <c r="K7" s="109"/>
      <c r="L7" s="109"/>
      <c r="M7" s="109"/>
      <c r="T7" s="113">
        <f>RESULTADOS!B24</f>
        <v>5</v>
      </c>
      <c r="U7" s="113" t="str">
        <f>RESULTADOS!C24</f>
        <v>Direcciones y teléfonos</v>
      </c>
      <c r="V7" s="113" t="str">
        <f t="shared" si="0"/>
        <v>Página web</v>
      </c>
      <c r="W7" s="113" t="str">
        <v>Aleatoria</v>
      </c>
      <c r="X7" s="113" t="str">
        <f>RESULTADOS!D24</f>
        <v>https://elecciones.comunidad.madrid/es/juntas-electorales/direcciones-telefonos</v>
      </c>
      <c r="Y7" s="113" t="str">
        <v>Home &gt; Información electoral &gt; Juntas electorales &gt; Direcciones y teléfonos</v>
      </c>
      <c r="Z7" s="188">
        <v>0</v>
      </c>
      <c r="AA7" s="111" t="str">
        <f ca="1">RESULTADOS!E24</f>
        <v>Falla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N/A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Pasa</v>
      </c>
      <c r="BG7" s="111" t="str">
        <f ca="1">RESULTADOS!AK24</f>
        <v>N/A</v>
      </c>
      <c r="BH7" s="111" t="str">
        <f ca="1">RESULTADOS!AL24</f>
        <v>N/A</v>
      </c>
      <c r="BI7" s="111" t="str">
        <f ca="1">RESULTADOS!AM24</f>
        <v>N/A</v>
      </c>
      <c r="BJ7" s="111" t="str">
        <f ca="1">RESULTADOS!AN24</f>
        <v>N/A</v>
      </c>
      <c r="BK7" s="111" t="str">
        <f ca="1">RESULTADOS!AO24</f>
        <v>Falla</v>
      </c>
      <c r="BL7" s="111" t="str">
        <f ca="1">RESULTADOS!AP24</f>
        <v>Falla</v>
      </c>
      <c r="BM7" s="111" t="str">
        <f ca="1">RESULTADOS!AQ24</f>
        <v>Falla</v>
      </c>
      <c r="BN7" s="111" t="str">
        <f ca="1">RESULTADOS!AR24</f>
        <v>Falla</v>
      </c>
      <c r="BO7" s="111" t="str">
        <f ca="1">RESULTADOS!AS24</f>
        <v>N/A</v>
      </c>
      <c r="BP7" s="111" t="str">
        <f ca="1">RESULTADOS!AT24</f>
        <v>Pasa</v>
      </c>
      <c r="BQ7" s="111" t="str">
        <f ca="1">RESULTADOS!AU24</f>
        <v>N/A</v>
      </c>
      <c r="BR7" s="111" t="str">
        <f ca="1">RESULTADOS!AV24</f>
        <v>Pasa</v>
      </c>
      <c r="BS7" s="111" t="str">
        <f ca="1">RESULTADOS!AW24</f>
        <v>Falla</v>
      </c>
      <c r="BT7" s="111" t="str">
        <f ca="1">RESULTADOS!AX24</f>
        <v>N/A</v>
      </c>
      <c r="BU7" s="111" t="str">
        <f ca="1">RESULTADOS!AY24</f>
        <v>Falla</v>
      </c>
      <c r="BV7" s="111" t="str">
        <f ca="1">RESULTADOS!AZ24</f>
        <v>Falla</v>
      </c>
      <c r="BW7" s="111" t="str">
        <f ca="1">RESULTADOS!BA24</f>
        <v>Pasa</v>
      </c>
      <c r="BX7" s="111" t="str">
        <f ca="1">RESULTADOS!BB24</f>
        <v>Falla</v>
      </c>
      <c r="BY7" s="111" t="str">
        <f ca="1">RESULTADOS!BC24</f>
        <v>Falla</v>
      </c>
      <c r="BZ7" s="111" t="str">
        <f ca="1">RESULTADOS!BD24</f>
        <v>Pasa</v>
      </c>
      <c r="CA7" s="111" t="str">
        <f ca="1">RESULTADOS!BE24</f>
        <v>N/A</v>
      </c>
      <c r="CB7" s="111" t="str">
        <f ca="1">RESULTADOS!BF24</f>
        <v>Pasa</v>
      </c>
      <c r="CC7" s="111" t="str">
        <f ca="1">RESULTADOS!BG24</f>
        <v>N/A</v>
      </c>
      <c r="CD7" s="111" t="str">
        <f ca="1">RESULTADOS!BH24</f>
        <v>N/A</v>
      </c>
      <c r="CE7" s="111" t="str">
        <f ca="1">RESULTADOS!BI24</f>
        <v>Pasa</v>
      </c>
      <c r="CF7" s="111" t="str">
        <f ca="1">RESULTADOS!BJ24</f>
        <v>Pasa</v>
      </c>
      <c r="CG7" s="111" t="str">
        <f ca="1">RESULTADOS!BK24</f>
        <v>Falla</v>
      </c>
      <c r="CH7" s="111" t="str">
        <f ca="1">RESULTADOS!BL24</f>
        <v>Falla</v>
      </c>
      <c r="CI7" s="111" t="str">
        <f ca="1">RESULTADOS!BM24</f>
        <v>Pasa</v>
      </c>
      <c r="CJ7" s="111" t="str">
        <f ca="1">RESULTADOS!BN24</f>
        <v>Pasa</v>
      </c>
      <c r="CK7" s="111" t="str">
        <f ca="1">RESULTADOS!BO24</f>
        <v>Falla</v>
      </c>
      <c r="CL7" s="111" t="str">
        <f ca="1">RESULTADOS!BP24</f>
        <v>N/A</v>
      </c>
      <c r="CM7" s="111" t="str">
        <f ca="1">RESULTADOS!BQ24</f>
        <v>Pasa</v>
      </c>
      <c r="CN7" s="111" t="str">
        <f ca="1">RESULTADOS!BR24</f>
        <v>Falla</v>
      </c>
      <c r="CO7" s="111" t="str">
        <f ca="1">RESULTADOS!BS24</f>
        <v>N/A</v>
      </c>
      <c r="CP7" s="111" t="str">
        <f ca="1">RESULTADOS!BT24</f>
        <v>Pasa</v>
      </c>
      <c r="CQ7" s="111" t="str">
        <f ca="1">RESULTADOS!BU24</f>
        <v>N/A</v>
      </c>
      <c r="CR7" s="111" t="str">
        <f ca="1">RESULTADOS!BV24</f>
        <v>Pasa</v>
      </c>
      <c r="CS7" s="111" t="str">
        <f ca="1">RESULTADOS!BW24</f>
        <v>Pasa</v>
      </c>
      <c r="CT7" s="111" t="str">
        <f ca="1">RESULTADOS!BX24</f>
        <v>Pasa</v>
      </c>
      <c r="CU7" s="111" t="str">
        <f ca="1">RESULTADOS!BY24</f>
        <v>Pasa</v>
      </c>
      <c r="CV7" s="111" t="str">
        <f ca="1">RESULTADOS!BZ24</f>
        <v>N/A</v>
      </c>
      <c r="CW7" s="111" t="str">
        <f ca="1">RESULTADOS!CA24</f>
        <v>Pasa</v>
      </c>
      <c r="CX7" s="111" t="str">
        <f ca="1">RESULTADOS!CB24</f>
        <v>N/A</v>
      </c>
      <c r="CY7" s="111" t="str">
        <f ca="1">RESULTADOS!CC24</f>
        <v>N/A</v>
      </c>
      <c r="CZ7" s="111" t="str">
        <f ca="1">RESULTADOS!CD24</f>
        <v>N/A</v>
      </c>
      <c r="DA7" s="111" t="str">
        <f ca="1">RESULTADOS!CE24</f>
        <v>Pasa</v>
      </c>
      <c r="DB7" s="111" t="str">
        <f ca="1">RESULTADOS!CF24</f>
        <v>N/A</v>
      </c>
      <c r="DC7" s="111" t="str">
        <f ca="1">RESULTADOS!CG24</f>
        <v>Falla</v>
      </c>
      <c r="DD7" s="111" t="str">
        <f ca="1">RESULTADOS!CH24</f>
        <v>Falla</v>
      </c>
      <c r="DE7" s="111" t="str">
        <f ca="1">RESULTADOS!CI24</f>
        <v>N/A</v>
      </c>
      <c r="DF7" s="111" t="str">
        <f ca="1">RESULTADOS!CJ24</f>
        <v>N/A</v>
      </c>
      <c r="DG7" s="111" t="str">
        <f ca="1">RESULTADOS!CK24</f>
        <v>N/A</v>
      </c>
      <c r="DH7" s="111" t="str">
        <f ca="1">RESULTADOS!CL24</f>
        <v>N/A</v>
      </c>
      <c r="DI7" s="111" t="str">
        <f ca="1">RESULTADOS!CM24</f>
        <v>N/A</v>
      </c>
      <c r="DJ7" s="111" t="str">
        <f ca="1">RESULTADOS!CN24</f>
        <v>N/A</v>
      </c>
      <c r="DK7" s="111" t="str">
        <f ca="1">RESULTADOS!CO24</f>
        <v>N/A</v>
      </c>
      <c r="DL7" s="111" t="str">
        <f ca="1">RESULTADOS!CP24</f>
        <v>N/A</v>
      </c>
      <c r="DM7" s="111" t="str">
        <f ca="1">RESULTADOS!CQ24</f>
        <v>N/A</v>
      </c>
      <c r="DN7" s="111" t="str">
        <f ca="1">RESULTADOS!CR24</f>
        <v>N/A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ht="13">
      <c r="C8" s="109" t="s">
        <v>20</v>
      </c>
      <c r="D8" s="112" t="str">
        <f>'01.Definición de ámbito'!C21</f>
        <v>MD_CANALES_DIGITALES@madrid.org</v>
      </c>
      <c r="E8" s="109" t="s">
        <v>65</v>
      </c>
      <c r="F8" s="112" t="str">
        <f>'02.Tecnologías'!F10</f>
        <v>No</v>
      </c>
      <c r="G8" s="112">
        <f>'02.Tecnologías'!K18</f>
        <v>0</v>
      </c>
      <c r="H8" s="112">
        <f>'02.Tecnologías'!L18</f>
        <v>0</v>
      </c>
      <c r="I8" s="162"/>
      <c r="J8" s="162"/>
      <c r="K8" s="109"/>
      <c r="L8" s="109"/>
      <c r="M8" s="109"/>
      <c r="T8" s="113">
        <f>RESULTADOS!B25</f>
        <v>6</v>
      </c>
      <c r="U8" s="113" t="str">
        <f>RESULTADOS!C25</f>
        <v>Impresos electrónicos</v>
      </c>
      <c r="V8" s="113" t="str">
        <f t="shared" si="0"/>
        <v>Página web</v>
      </c>
      <c r="W8" s="113" t="str">
        <v>Pagina tipo</v>
      </c>
      <c r="X8" s="113" t="str">
        <f>RESULTADOS!D25</f>
        <v>https://elecciones.comunidad.madrid/es/formaciones-politicas/impresos-electronicos</v>
      </c>
      <c r="Y8" s="113" t="str">
        <v>Home &gt; Información electoral &gt; Formaciones políticas &gt; Impresos electrónicos</v>
      </c>
      <c r="Z8" s="188">
        <v>0</v>
      </c>
      <c r="AA8" s="111" t="str">
        <f ca="1">RESULTADOS!E25</f>
        <v>Falla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N/A</v>
      </c>
      <c r="AX8" s="111" t="str">
        <f ca="1">RESULTADOS!AB25</f>
        <v>N/A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Pasa</v>
      </c>
      <c r="BG8" s="111" t="str">
        <f ca="1">RESULTADOS!AK25</f>
        <v>N/A</v>
      </c>
      <c r="BH8" s="111" t="str">
        <f ca="1">RESULTADOS!AL25</f>
        <v>N/A</v>
      </c>
      <c r="BI8" s="111" t="str">
        <f ca="1">RESULTADOS!AM25</f>
        <v>N/A</v>
      </c>
      <c r="BJ8" s="111" t="str">
        <f ca="1">RESULTADOS!AN25</f>
        <v>N/A</v>
      </c>
      <c r="BK8" s="111" t="str">
        <f ca="1">RESULTADOS!AO25</f>
        <v>Falla</v>
      </c>
      <c r="BL8" s="111" t="str">
        <f ca="1">RESULTADOS!AP25</f>
        <v>Falla</v>
      </c>
      <c r="BM8" s="111" t="str">
        <f ca="1">RESULTADOS!AQ25</f>
        <v>Falla</v>
      </c>
      <c r="BN8" s="111" t="str">
        <f ca="1">RESULTADOS!AR25</f>
        <v>Falla</v>
      </c>
      <c r="BO8" s="111" t="str">
        <f ca="1">RESULTADOS!AS25</f>
        <v>N/A</v>
      </c>
      <c r="BP8" s="111" t="str">
        <f ca="1">RESULTADOS!AT25</f>
        <v>Pasa</v>
      </c>
      <c r="BQ8" s="111" t="str">
        <f ca="1">RESULTADOS!AU25</f>
        <v>N/A</v>
      </c>
      <c r="BR8" s="111" t="str">
        <f ca="1">RESULTADOS!AV25</f>
        <v>Pasa</v>
      </c>
      <c r="BS8" s="111" t="str">
        <f ca="1">RESULTADOS!AW25</f>
        <v>Falla</v>
      </c>
      <c r="BT8" s="111" t="str">
        <f ca="1">RESULTADOS!AX25</f>
        <v>N/A</v>
      </c>
      <c r="BU8" s="111" t="str">
        <f ca="1">RESULTADOS!AY25</f>
        <v>Falla</v>
      </c>
      <c r="BV8" s="111" t="str">
        <f ca="1">RESULTADOS!AZ25</f>
        <v>Falla</v>
      </c>
      <c r="BW8" s="111" t="str">
        <f ca="1">RESULTADOS!BA25</f>
        <v>Pasa</v>
      </c>
      <c r="BX8" s="111" t="str">
        <f ca="1">RESULTADOS!BB25</f>
        <v>Falla</v>
      </c>
      <c r="BY8" s="111" t="str">
        <f ca="1">RESULTADOS!BC25</f>
        <v>Falla</v>
      </c>
      <c r="BZ8" s="111" t="str">
        <f ca="1">RESULTADOS!BD25</f>
        <v>Pasa</v>
      </c>
      <c r="CA8" s="111" t="str">
        <f ca="1">RESULTADOS!BE25</f>
        <v>N/A</v>
      </c>
      <c r="CB8" s="111" t="str">
        <f ca="1">RESULTADOS!BF25</f>
        <v>Pasa</v>
      </c>
      <c r="CC8" s="111" t="str">
        <f ca="1">RESULTADOS!BG25</f>
        <v>N/A</v>
      </c>
      <c r="CD8" s="111" t="str">
        <f ca="1">RESULTADOS!BH25</f>
        <v>N/A</v>
      </c>
      <c r="CE8" s="111" t="str">
        <f ca="1">RESULTADOS!BI25</f>
        <v>Pasa</v>
      </c>
      <c r="CF8" s="111" t="str">
        <f ca="1">RESULTADOS!BJ25</f>
        <v>Pasa</v>
      </c>
      <c r="CG8" s="111" t="str">
        <f ca="1">RESULTADOS!BK25</f>
        <v>Falla</v>
      </c>
      <c r="CH8" s="111" t="str">
        <f ca="1">RESULTADOS!BL25</f>
        <v>Falla</v>
      </c>
      <c r="CI8" s="111" t="str">
        <f ca="1">RESULTADOS!BM25</f>
        <v>Pasa</v>
      </c>
      <c r="CJ8" s="111" t="str">
        <f ca="1">RESULTADOS!BN25</f>
        <v>Pasa</v>
      </c>
      <c r="CK8" s="111" t="str">
        <f ca="1">RESULTADOS!BO25</f>
        <v>Falla</v>
      </c>
      <c r="CL8" s="111" t="str">
        <f ca="1">RESULTADOS!BP25</f>
        <v>N/A</v>
      </c>
      <c r="CM8" s="111" t="str">
        <f ca="1">RESULTADOS!BQ25</f>
        <v>Pasa</v>
      </c>
      <c r="CN8" s="111" t="str">
        <f ca="1">RESULTADOS!BR25</f>
        <v>Falla</v>
      </c>
      <c r="CO8" s="111" t="str">
        <f ca="1">RESULTADOS!BS25</f>
        <v>N/A</v>
      </c>
      <c r="CP8" s="111" t="str">
        <f ca="1">RESULTADOS!BT25</f>
        <v>Pasa</v>
      </c>
      <c r="CQ8" s="111" t="str">
        <f ca="1">RESULTADOS!BU25</f>
        <v>N/A</v>
      </c>
      <c r="CR8" s="111" t="str">
        <f ca="1">RESULTADOS!BV25</f>
        <v>Pasa</v>
      </c>
      <c r="CS8" s="111" t="str">
        <f ca="1">RESULTADOS!BW25</f>
        <v>Pasa</v>
      </c>
      <c r="CT8" s="111" t="str">
        <f ca="1">RESULTADOS!BX25</f>
        <v>Pasa</v>
      </c>
      <c r="CU8" s="111" t="str">
        <f ca="1">RESULTADOS!BY25</f>
        <v>Pasa</v>
      </c>
      <c r="CV8" s="111" t="str">
        <f ca="1">RESULTADOS!BZ25</f>
        <v>N/A</v>
      </c>
      <c r="CW8" s="111" t="str">
        <f ca="1">RESULTADOS!CA25</f>
        <v>Pasa</v>
      </c>
      <c r="CX8" s="111" t="str">
        <f ca="1">RESULTADOS!CB25</f>
        <v>N/A</v>
      </c>
      <c r="CY8" s="111" t="str">
        <f ca="1">RESULTADOS!CC25</f>
        <v>N/A</v>
      </c>
      <c r="CZ8" s="111" t="str">
        <f ca="1">RESULTADOS!CD25</f>
        <v>N/A</v>
      </c>
      <c r="DA8" s="111" t="str">
        <f ca="1">RESULTADOS!CE25</f>
        <v>Pasa</v>
      </c>
      <c r="DB8" s="111" t="str">
        <f ca="1">RESULTADOS!CF25</f>
        <v>N/A</v>
      </c>
      <c r="DC8" s="111" t="str">
        <f ca="1">RESULTADOS!CG25</f>
        <v>Falla</v>
      </c>
      <c r="DD8" s="111" t="str">
        <f ca="1">RESULTADOS!CH25</f>
        <v>Falla</v>
      </c>
      <c r="DE8" s="111" t="str">
        <f ca="1">RESULTADOS!CI25</f>
        <v>N/A</v>
      </c>
      <c r="DF8" s="111" t="str">
        <f ca="1">RESULTADOS!CJ25</f>
        <v>N/A</v>
      </c>
      <c r="DG8" s="111" t="str">
        <f ca="1">RESULTADOS!CK25</f>
        <v>N/A</v>
      </c>
      <c r="DH8" s="111" t="str">
        <f ca="1">RESULTADOS!CL25</f>
        <v>N/A</v>
      </c>
      <c r="DI8" s="111" t="str">
        <f ca="1">RESULTADOS!CM25</f>
        <v>N/A</v>
      </c>
      <c r="DJ8" s="111" t="str">
        <f ca="1">RESULTADOS!CN25</f>
        <v>N/A</v>
      </c>
      <c r="DK8" s="111" t="str">
        <f ca="1">RESULTADOS!CO25</f>
        <v>N/A</v>
      </c>
      <c r="DL8" s="111" t="str">
        <f ca="1">RESULTADOS!CP25</f>
        <v>N/A</v>
      </c>
      <c r="DM8" s="111" t="str">
        <f ca="1">RESULTADOS!CQ25</f>
        <v>N/A</v>
      </c>
      <c r="DN8" s="111" t="str">
        <f ca="1">RESULTADOS!CR25</f>
        <v>N/A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ht="13">
      <c r="C9" s="109" t="s">
        <v>21</v>
      </c>
      <c r="D9" s="112" t="str">
        <f>'01.Definición de ámbito'!C25</f>
        <v>Sitios web</v>
      </c>
      <c r="E9" s="109" t="s">
        <v>68</v>
      </c>
      <c r="F9" s="112" t="str">
        <f>'02.Tecnologías'!F11</f>
        <v>No</v>
      </c>
      <c r="G9" s="112">
        <f>'02.Tecnologías'!K19</f>
        <v>0</v>
      </c>
      <c r="H9" s="112">
        <f>'02.Tecnologías'!L19</f>
        <v>0</v>
      </c>
      <c r="I9" s="162"/>
      <c r="J9" s="162"/>
      <c r="K9" s="109"/>
      <c r="L9" s="109"/>
      <c r="M9" s="109"/>
      <c r="T9" s="113">
        <f>RESULTADOS!B26</f>
        <v>7</v>
      </c>
      <c r="U9" s="113" t="str">
        <f>RESULTADOS!C26</f>
        <v>Listado de candidaturas</v>
      </c>
      <c r="V9" s="113" t="str">
        <f t="shared" si="0"/>
        <v>Página web</v>
      </c>
      <c r="W9" s="113" t="str">
        <v>Pagina tipo</v>
      </c>
      <c r="X9" s="113" t="str">
        <f>RESULTADOS!D26</f>
        <v>https://elecciones.comunidad.madrid/es/formaciones-politicas/listado-candidaturas-proclamadas</v>
      </c>
      <c r="Y9" s="113" t="str">
        <v>Home &gt; Información electoral &gt; Formaciones políticas &gt; Listado de candidaturas</v>
      </c>
      <c r="Z9" s="188">
        <v>0</v>
      </c>
      <c r="AA9" s="111" t="str">
        <f ca="1">RESULTADOS!E26</f>
        <v>Falla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N/A</v>
      </c>
      <c r="AX9" s="111" t="str">
        <f ca="1">RESULTADOS!AB26</f>
        <v>N/A</v>
      </c>
      <c r="AY9" s="111" t="str">
        <f ca="1">RESULTADOS!AC26</f>
        <v>N/A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Pasa</v>
      </c>
      <c r="BG9" s="111" t="str">
        <f ca="1">RESULTADOS!AK26</f>
        <v>N/A</v>
      </c>
      <c r="BH9" s="111" t="str">
        <f ca="1">RESULTADOS!AL26</f>
        <v>N/A</v>
      </c>
      <c r="BI9" s="111" t="str">
        <f ca="1">RESULTADOS!AM26</f>
        <v>N/A</v>
      </c>
      <c r="BJ9" s="111" t="str">
        <f ca="1">RESULTADOS!AN26</f>
        <v>N/A</v>
      </c>
      <c r="BK9" s="111" t="str">
        <f ca="1">RESULTADOS!AO26</f>
        <v>Falla</v>
      </c>
      <c r="BL9" s="111" t="str">
        <f ca="1">RESULTADOS!AP26</f>
        <v>Falla</v>
      </c>
      <c r="BM9" s="111" t="str">
        <f ca="1">RESULTADOS!AQ26</f>
        <v>Falla</v>
      </c>
      <c r="BN9" s="111" t="str">
        <f ca="1">RESULTADOS!AR26</f>
        <v>Falla</v>
      </c>
      <c r="BO9" s="111" t="str">
        <f ca="1">RESULTADOS!AS26</f>
        <v>N/A</v>
      </c>
      <c r="BP9" s="111" t="str">
        <f ca="1">RESULTADOS!AT26</f>
        <v>Falla</v>
      </c>
      <c r="BQ9" s="111" t="str">
        <f ca="1">RESULTADOS!AU26</f>
        <v>N/A</v>
      </c>
      <c r="BR9" s="111" t="str">
        <f ca="1">RESULTADOS!AV26</f>
        <v>Pasa</v>
      </c>
      <c r="BS9" s="111" t="str">
        <f ca="1">RESULTADOS!AW26</f>
        <v>Falla</v>
      </c>
      <c r="BT9" s="111" t="str">
        <f ca="1">RESULTADOS!AX26</f>
        <v>N/A</v>
      </c>
      <c r="BU9" s="111" t="str">
        <f ca="1">RESULTADOS!AY26</f>
        <v>Falla</v>
      </c>
      <c r="BV9" s="111" t="str">
        <f ca="1">RESULTADOS!AZ26</f>
        <v>Falla</v>
      </c>
      <c r="BW9" s="111" t="str">
        <f ca="1">RESULTADOS!BA26</f>
        <v>Pasa</v>
      </c>
      <c r="BX9" s="111" t="str">
        <f ca="1">RESULTADOS!BB26</f>
        <v>Falla</v>
      </c>
      <c r="BY9" s="111" t="str">
        <f ca="1">RESULTADOS!BC26</f>
        <v>Falla</v>
      </c>
      <c r="BZ9" s="111" t="str">
        <f ca="1">RESULTADOS!BD26</f>
        <v>Pasa</v>
      </c>
      <c r="CA9" s="111" t="str">
        <f ca="1">RESULTADOS!BE26</f>
        <v>N/A</v>
      </c>
      <c r="CB9" s="111" t="str">
        <f ca="1">RESULTADOS!BF26</f>
        <v>Pasa</v>
      </c>
      <c r="CC9" s="111" t="str">
        <f ca="1">RESULTADOS!BG26</f>
        <v>N/A</v>
      </c>
      <c r="CD9" s="111" t="str">
        <f ca="1">RESULTADOS!BH26</f>
        <v>N/A</v>
      </c>
      <c r="CE9" s="111" t="str">
        <f ca="1">RESULTADOS!BI26</f>
        <v>Pasa</v>
      </c>
      <c r="CF9" s="111" t="str">
        <f ca="1">RESULTADOS!BJ26</f>
        <v>Pasa</v>
      </c>
      <c r="CG9" s="111" t="str">
        <f ca="1">RESULTADOS!BK26</f>
        <v>Falla</v>
      </c>
      <c r="CH9" s="111" t="str">
        <f ca="1">RESULTADOS!BL26</f>
        <v>Falla</v>
      </c>
      <c r="CI9" s="111" t="str">
        <f ca="1">RESULTADOS!BM26</f>
        <v>Pasa</v>
      </c>
      <c r="CJ9" s="111" t="str">
        <f ca="1">RESULTADOS!BN26</f>
        <v>Pasa</v>
      </c>
      <c r="CK9" s="111" t="str">
        <f ca="1">RESULTADOS!BO26</f>
        <v>Falla</v>
      </c>
      <c r="CL9" s="111" t="str">
        <f ca="1">RESULTADOS!BP26</f>
        <v>N/A</v>
      </c>
      <c r="CM9" s="111" t="str">
        <f ca="1">RESULTADOS!BQ26</f>
        <v>Pasa</v>
      </c>
      <c r="CN9" s="111" t="str">
        <f ca="1">RESULTADOS!BR26</f>
        <v>Falla</v>
      </c>
      <c r="CO9" s="111" t="str">
        <f ca="1">RESULTADOS!BS26</f>
        <v>N/A</v>
      </c>
      <c r="CP9" s="111" t="str">
        <f ca="1">RESULTADOS!BT26</f>
        <v>Pasa</v>
      </c>
      <c r="CQ9" s="111" t="str">
        <f ca="1">RESULTADOS!BU26</f>
        <v>N/A</v>
      </c>
      <c r="CR9" s="111" t="str">
        <f ca="1">RESULTADOS!BV26</f>
        <v>Pasa</v>
      </c>
      <c r="CS9" s="111" t="str">
        <f ca="1">RESULTADOS!BW26</f>
        <v>Pasa</v>
      </c>
      <c r="CT9" s="111" t="str">
        <f ca="1">RESULTADOS!BX26</f>
        <v>Pasa</v>
      </c>
      <c r="CU9" s="111" t="str">
        <f ca="1">RESULTADOS!BY26</f>
        <v>Pasa</v>
      </c>
      <c r="CV9" s="111" t="str">
        <f ca="1">RESULTADOS!BZ26</f>
        <v>N/A</v>
      </c>
      <c r="CW9" s="111" t="str">
        <f ca="1">RESULTADOS!CA26</f>
        <v>Pasa</v>
      </c>
      <c r="CX9" s="111" t="str">
        <f ca="1">RESULTADOS!CB26</f>
        <v>N/A</v>
      </c>
      <c r="CY9" s="111" t="str">
        <f ca="1">RESULTADOS!CC26</f>
        <v>N/A</v>
      </c>
      <c r="CZ9" s="111" t="str">
        <f ca="1">RESULTADOS!CD26</f>
        <v>N/A</v>
      </c>
      <c r="DA9" s="111" t="str">
        <f ca="1">RESULTADOS!CE26</f>
        <v>Pasa</v>
      </c>
      <c r="DB9" s="111" t="str">
        <f ca="1">RESULTADOS!CF26</f>
        <v>N/A</v>
      </c>
      <c r="DC9" s="111" t="str">
        <f ca="1">RESULTADOS!CG26</f>
        <v>Falla</v>
      </c>
      <c r="DD9" s="111" t="str">
        <f ca="1">RESULTADOS!CH26</f>
        <v>Falla</v>
      </c>
      <c r="DE9" s="111" t="str">
        <f ca="1">RESULTADOS!CI26</f>
        <v>N/A</v>
      </c>
      <c r="DF9" s="111" t="str">
        <f ca="1">RESULTADOS!CJ26</f>
        <v>N/A</v>
      </c>
      <c r="DG9" s="111" t="str">
        <f ca="1">RESULTADOS!CK26</f>
        <v>N/A</v>
      </c>
      <c r="DH9" s="111" t="str">
        <f ca="1">RESULTADOS!CL26</f>
        <v>N/A</v>
      </c>
      <c r="DI9" s="111" t="str">
        <f ca="1">RESULTADOS!CM26</f>
        <v>N/A</v>
      </c>
      <c r="DJ9" s="111" t="str">
        <f ca="1">RESULTADOS!CN26</f>
        <v>N/A</v>
      </c>
      <c r="DK9" s="111" t="str">
        <f ca="1">RESULTADOS!CO26</f>
        <v>N/A</v>
      </c>
      <c r="DL9" s="111" t="str">
        <f ca="1">RESULTADOS!CP26</f>
        <v>N/A</v>
      </c>
      <c r="DM9" s="111" t="str">
        <f ca="1">RESULTADOS!CQ26</f>
        <v>N/A</v>
      </c>
      <c r="DN9" s="111" t="str">
        <f ca="1">RESULTADOS!CR26</f>
        <v>N/A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ht="13">
      <c r="C10" s="109" t="s">
        <v>23</v>
      </c>
      <c r="D10" s="112" t="str">
        <f>'01.Definición de ámbito'!C27</f>
        <v>28 de Mayo, Elecciones Asamblea Madrid</v>
      </c>
      <c r="E10" s="109" t="s">
        <v>71</v>
      </c>
      <c r="F10" s="112" t="str">
        <f>'02.Tecnologías'!F12</f>
        <v>No</v>
      </c>
      <c r="G10" s="112">
        <f>'02.Tecnologías'!K20</f>
        <v>0</v>
      </c>
      <c r="H10" s="112">
        <f>'02.Tecnologías'!L20</f>
        <v>0</v>
      </c>
      <c r="I10" s="162"/>
      <c r="J10" s="162"/>
      <c r="K10" s="109" t="s">
        <v>542</v>
      </c>
      <c r="L10" s="109"/>
      <c r="M10" s="109"/>
      <c r="T10" s="113">
        <f>RESULTADOS!B27</f>
        <v>8</v>
      </c>
      <c r="U10" s="113" t="str">
        <f>RESULTADOS!C27</f>
        <v>Partido Feminista de España</v>
      </c>
      <c r="V10" s="113" t="str">
        <f t="shared" si="0"/>
        <v>Página web</v>
      </c>
      <c r="W10" s="113" t="str">
        <v>Aleatoria</v>
      </c>
      <c r="X10" s="113" t="str">
        <f>RESULTADOS!D27</f>
        <v>https://elecciones.comunidad.madrid/es/formaciones-politicas/listado-candidaturas/partido-feminista-espana</v>
      </c>
      <c r="Y10" s="113" t="str">
        <v>Home &gt; Información electoral &gt; Formaciones políticas &gt; Listado de candidaturas &gt; Partido Feminista de España</v>
      </c>
      <c r="Z10" s="188">
        <v>0</v>
      </c>
      <c r="AA10" s="111" t="str">
        <f ca="1">RESULTADOS!E27</f>
        <v>N/A</v>
      </c>
      <c r="AB10" s="111" t="str">
        <f ca="1">RESULTADOS!F27</f>
        <v>N/A</v>
      </c>
      <c r="AC10" s="111" t="str">
        <f ca="1">RESULTADOS!G27</f>
        <v>N/A</v>
      </c>
      <c r="AD10" s="111" t="str">
        <f ca="1">RESULTADOS!H27</f>
        <v>N/A</v>
      </c>
      <c r="AE10" s="111" t="str">
        <f ca="1">RESULTADOS!I27</f>
        <v>N/A</v>
      </c>
      <c r="AF10" s="111" t="str">
        <f ca="1">RESULTADOS!J27</f>
        <v>N/A</v>
      </c>
      <c r="AG10" s="111" t="str">
        <f ca="1">RESULTADOS!K27</f>
        <v>N/A</v>
      </c>
      <c r="AH10" s="111" t="str">
        <f ca="1">RESULTADOS!L27</f>
        <v>N/A</v>
      </c>
      <c r="AI10" s="111" t="str">
        <f ca="1">RESULTADOS!M27</f>
        <v>N/A</v>
      </c>
      <c r="AJ10" s="111" t="str">
        <f ca="1">RESULTADOS!N27</f>
        <v>N/A</v>
      </c>
      <c r="AK10" s="111" t="str">
        <f ca="1">RESULTADOS!O27</f>
        <v>N/A</v>
      </c>
      <c r="AL10" s="111" t="str">
        <f ca="1">RESULTADOS!P27</f>
        <v>N/A</v>
      </c>
      <c r="AM10" s="111" t="str">
        <f ca="1">RESULTADOS!Q27</f>
        <v>N/A</v>
      </c>
      <c r="AN10" s="111" t="str">
        <f ca="1">RESULTADOS!R27</f>
        <v>N/A</v>
      </c>
      <c r="AO10" s="111" t="str">
        <f ca="1">RESULTADOS!S27</f>
        <v>N/A</v>
      </c>
      <c r="AP10" s="111" t="str">
        <f ca="1">RESULTADOS!T27</f>
        <v>N/A</v>
      </c>
      <c r="AQ10" s="111" t="str">
        <f ca="1">RESULTADOS!U27</f>
        <v>N/A</v>
      </c>
      <c r="AR10" s="111" t="str">
        <f ca="1">RESULTADOS!V27</f>
        <v>N/A</v>
      </c>
      <c r="AS10" s="111" t="str">
        <f ca="1">RESULTADOS!W27</f>
        <v>N/A</v>
      </c>
      <c r="AT10" s="111" t="str">
        <f ca="1">RESULTADOS!X27</f>
        <v>N/A</v>
      </c>
      <c r="AU10" s="111" t="str">
        <f ca="1">RESULTADOS!Y27</f>
        <v>N/A</v>
      </c>
      <c r="AV10" s="111" t="str">
        <f ca="1">RESULTADOS!Z27</f>
        <v>N/A</v>
      </c>
      <c r="AW10" s="111" t="str">
        <f ca="1">RESULTADOS!AA27</f>
        <v>N/A</v>
      </c>
      <c r="AX10" s="111" t="str">
        <f ca="1">RESULTADOS!AB27</f>
        <v>N/A</v>
      </c>
      <c r="AY10" s="111" t="str">
        <f ca="1">RESULTADOS!AC27</f>
        <v>N/A</v>
      </c>
      <c r="AZ10" s="111" t="str">
        <f ca="1">RESULTADOS!AD27</f>
        <v>N/A</v>
      </c>
      <c r="BA10" s="111" t="str">
        <f ca="1">RESULTADOS!AE27</f>
        <v>N/A</v>
      </c>
      <c r="BB10" s="111" t="str">
        <f ca="1">RESULTADOS!AF27</f>
        <v>N/A</v>
      </c>
      <c r="BC10" s="111" t="str">
        <f ca="1">RESULTADOS!AG27</f>
        <v>N/A</v>
      </c>
      <c r="BD10" s="111" t="str">
        <f ca="1">RESULTADOS!AH27</f>
        <v>N/A</v>
      </c>
      <c r="BE10" s="111" t="str">
        <f ca="1">RESULTADOS!AI27</f>
        <v>N/A</v>
      </c>
      <c r="BF10" s="111" t="str">
        <f ca="1">RESULTADOS!AJ27</f>
        <v>Pasa</v>
      </c>
      <c r="BG10" s="111" t="str">
        <f ca="1">RESULTADOS!AK27</f>
        <v>N/A</v>
      </c>
      <c r="BH10" s="111" t="str">
        <f ca="1">RESULTADOS!AL27</f>
        <v>N/A</v>
      </c>
      <c r="BI10" s="111" t="str">
        <f ca="1">RESULTADOS!AM27</f>
        <v>N/A</v>
      </c>
      <c r="BJ10" s="111" t="str">
        <f ca="1">RESULTADOS!AN27</f>
        <v>N/A</v>
      </c>
      <c r="BK10" s="111" t="str">
        <f ca="1">RESULTADOS!AO27</f>
        <v>Falla</v>
      </c>
      <c r="BL10" s="111" t="str">
        <f ca="1">RESULTADOS!AP27</f>
        <v>Falla</v>
      </c>
      <c r="BM10" s="111" t="str">
        <f ca="1">RESULTADOS!AQ27</f>
        <v>Falla</v>
      </c>
      <c r="BN10" s="111" t="str">
        <f ca="1">RESULTADOS!AR27</f>
        <v>Falla</v>
      </c>
      <c r="BO10" s="111" t="str">
        <f ca="1">RESULTADOS!AS27</f>
        <v>N/A</v>
      </c>
      <c r="BP10" s="111" t="str">
        <f ca="1">RESULTADOS!AT27</f>
        <v>Pasa</v>
      </c>
      <c r="BQ10" s="111" t="str">
        <f ca="1">RESULTADOS!AU27</f>
        <v>N/A</v>
      </c>
      <c r="BR10" s="111" t="str">
        <f ca="1">RESULTADOS!AV27</f>
        <v>Pasa</v>
      </c>
      <c r="BS10" s="111" t="str">
        <f ca="1">RESULTADOS!AW27</f>
        <v>Falla</v>
      </c>
      <c r="BT10" s="111" t="str">
        <f ca="1">RESULTADOS!AX27</f>
        <v>N/A</v>
      </c>
      <c r="BU10" s="111" t="str">
        <f ca="1">RESULTADOS!AY27</f>
        <v>Falla</v>
      </c>
      <c r="BV10" s="111" t="str">
        <f ca="1">RESULTADOS!AZ27</f>
        <v>Falla</v>
      </c>
      <c r="BW10" s="111" t="str">
        <f ca="1">RESULTADOS!BA27</f>
        <v>Pasa</v>
      </c>
      <c r="BX10" s="111" t="str">
        <f ca="1">RESULTADOS!BB27</f>
        <v>Falla</v>
      </c>
      <c r="BY10" s="111" t="str">
        <f ca="1">RESULTADOS!BC27</f>
        <v>Falla</v>
      </c>
      <c r="BZ10" s="111" t="str">
        <f ca="1">RESULTADOS!BD27</f>
        <v>Pasa</v>
      </c>
      <c r="CA10" s="111" t="str">
        <f ca="1">RESULTADOS!BE27</f>
        <v>N/A</v>
      </c>
      <c r="CB10" s="111" t="str">
        <f ca="1">RESULTADOS!BF27</f>
        <v>Pasa</v>
      </c>
      <c r="CC10" s="111" t="str">
        <f ca="1">RESULTADOS!BG27</f>
        <v>N/A</v>
      </c>
      <c r="CD10" s="111" t="str">
        <f ca="1">RESULTADOS!BH27</f>
        <v>N/A</v>
      </c>
      <c r="CE10" s="111" t="str">
        <f ca="1">RESULTADOS!BI27</f>
        <v>Pasa</v>
      </c>
      <c r="CF10" s="111" t="str">
        <f ca="1">RESULTADOS!BJ27</f>
        <v>Pasa</v>
      </c>
      <c r="CG10" s="111" t="str">
        <f ca="1">RESULTADOS!BK27</f>
        <v>Falla</v>
      </c>
      <c r="CH10" s="111" t="str">
        <f ca="1">RESULTADOS!BL27</f>
        <v>Falla</v>
      </c>
      <c r="CI10" s="111" t="str">
        <f ca="1">RESULTADOS!BM27</f>
        <v>Falla</v>
      </c>
      <c r="CJ10" s="111" t="str">
        <f ca="1">RESULTADOS!BN27</f>
        <v>Pasa</v>
      </c>
      <c r="CK10" s="111" t="str">
        <f ca="1">RESULTADOS!BO27</f>
        <v>Falla</v>
      </c>
      <c r="CL10" s="111" t="str">
        <f ca="1">RESULTADOS!BP27</f>
        <v>N/A</v>
      </c>
      <c r="CM10" s="111" t="str">
        <f ca="1">RESULTADOS!BQ27</f>
        <v>Pasa</v>
      </c>
      <c r="CN10" s="111" t="str">
        <f ca="1">RESULTADOS!BR27</f>
        <v>Falla</v>
      </c>
      <c r="CO10" s="111" t="str">
        <f ca="1">RESULTADOS!BS27</f>
        <v>N/A</v>
      </c>
      <c r="CP10" s="111" t="str">
        <f ca="1">RESULTADOS!BT27</f>
        <v>Pasa</v>
      </c>
      <c r="CQ10" s="111" t="str">
        <f ca="1">RESULTADOS!BU27</f>
        <v>N/A</v>
      </c>
      <c r="CR10" s="111" t="str">
        <f ca="1">RESULTADOS!BV27</f>
        <v>Pasa</v>
      </c>
      <c r="CS10" s="111" t="str">
        <f ca="1">RESULTADOS!BW27</f>
        <v>Pasa</v>
      </c>
      <c r="CT10" s="111" t="str">
        <f ca="1">RESULTADOS!BX27</f>
        <v>Pasa</v>
      </c>
      <c r="CU10" s="111" t="str">
        <f ca="1">RESULTADOS!BY27</f>
        <v>Pasa</v>
      </c>
      <c r="CV10" s="111" t="str">
        <f ca="1">RESULTADOS!BZ27</f>
        <v>N/A</v>
      </c>
      <c r="CW10" s="111" t="str">
        <f ca="1">RESULTADOS!CA27</f>
        <v>Pasa</v>
      </c>
      <c r="CX10" s="111" t="str">
        <f ca="1">RESULTADOS!CB27</f>
        <v>N/A</v>
      </c>
      <c r="CY10" s="111" t="str">
        <f ca="1">RESULTADOS!CC27</f>
        <v>N/A</v>
      </c>
      <c r="CZ10" s="111" t="str">
        <f ca="1">RESULTADOS!CD27</f>
        <v>N/A</v>
      </c>
      <c r="DA10" s="111" t="str">
        <f ca="1">RESULTADOS!CE27</f>
        <v>Pasa</v>
      </c>
      <c r="DB10" s="111" t="str">
        <f ca="1">RESULTADOS!CF27</f>
        <v>N/A</v>
      </c>
      <c r="DC10" s="111" t="str">
        <f ca="1">RESULTADOS!CG27</f>
        <v>Falla</v>
      </c>
      <c r="DD10" s="111" t="str">
        <f ca="1">RESULTADOS!CH27</f>
        <v>Falla</v>
      </c>
      <c r="DE10" s="111" t="str">
        <f ca="1">RESULTADOS!CI27</f>
        <v>N/A</v>
      </c>
      <c r="DF10" s="111" t="str">
        <f ca="1">RESULTADOS!CJ27</f>
        <v>N/A</v>
      </c>
      <c r="DG10" s="111" t="str">
        <f ca="1">RESULTADOS!CK27</f>
        <v>N/A</v>
      </c>
      <c r="DH10" s="111" t="str">
        <f ca="1">RESULTADOS!CL27</f>
        <v>N/A</v>
      </c>
      <c r="DI10" s="111" t="str">
        <f ca="1">RESULTADOS!CM27</f>
        <v>N/A</v>
      </c>
      <c r="DJ10" s="111" t="str">
        <f ca="1">RESULTADOS!CN27</f>
        <v>N/A</v>
      </c>
      <c r="DK10" s="111" t="str">
        <f ca="1">RESULTADOS!CO27</f>
        <v>N/A</v>
      </c>
      <c r="DL10" s="111" t="str">
        <f ca="1">RESULTADOS!CP27</f>
        <v>N/A</v>
      </c>
      <c r="DM10" s="111" t="str">
        <f ca="1">RESULTADOS!CQ27</f>
        <v>N/A</v>
      </c>
      <c r="DN10" s="111" t="str">
        <f ca="1">RESULTADOS!CR27</f>
        <v>N/A</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ht="13">
      <c r="C11" s="109" t="s">
        <v>25</v>
      </c>
      <c r="D11" s="112" t="str">
        <f>'01.Definición de ámbito'!C29</f>
        <v>https://elecciones.comunidad.madrid/</v>
      </c>
      <c r="E11" s="109" t="s">
        <v>76</v>
      </c>
      <c r="F11" s="112" t="str">
        <f>'02.Tecnologías'!F13</f>
        <v>No</v>
      </c>
      <c r="G11" s="112">
        <f>'02.Tecnologías'!K21</f>
        <v>0</v>
      </c>
      <c r="H11" s="112">
        <f>'02.Tecnologías'!L21</f>
        <v>0</v>
      </c>
      <c r="I11" s="162"/>
      <c r="J11" s="162"/>
      <c r="K11" s="109" t="s">
        <v>334</v>
      </c>
      <c r="L11" s="109"/>
      <c r="M11" s="109"/>
      <c r="N11" s="109"/>
      <c r="O11" s="109"/>
      <c r="P11" s="109"/>
      <c r="T11" s="113">
        <f>RESULTADOS!B28</f>
        <v>9</v>
      </c>
      <c r="U11" s="113" t="str">
        <f>RESULTADOS!C28</f>
        <v>¿Dónde voto?</v>
      </c>
      <c r="V11" s="113" t="str">
        <f t="shared" si="0"/>
        <v>Página web</v>
      </c>
      <c r="W11" s="113" t="str">
        <v>Pagina tipo</v>
      </c>
      <c r="X11" s="113" t="str">
        <f>RESULTADOS!D28</f>
        <v>https://elecciones.comunidad.madrid/es/votar/donde-voto</v>
      </c>
      <c r="Y11" s="113" t="str">
        <v>Home &gt; Votar &gt; ¿Dónde voto?</v>
      </c>
      <c r="Z11" s="188">
        <v>0</v>
      </c>
      <c r="AA11" s="111" t="str">
        <f ca="1">RESULTADOS!E28</f>
        <v>Falla</v>
      </c>
      <c r="AB11" s="111" t="str">
        <f ca="1">RESULTADOS!F28</f>
        <v>N/A</v>
      </c>
      <c r="AC11" s="111" t="str">
        <f ca="1">RESULTADOS!G28</f>
        <v>N/A</v>
      </c>
      <c r="AD11" s="111" t="str">
        <f ca="1">RESULTADOS!H28</f>
        <v>N/A</v>
      </c>
      <c r="AE11" s="111" t="str">
        <f ca="1">RESULTADOS!I28</f>
        <v>N/A</v>
      </c>
      <c r="AF11" s="111" t="str">
        <f ca="1">RESULTADOS!J28</f>
        <v>N/A</v>
      </c>
      <c r="AG11" s="111" t="str">
        <f ca="1">RESULTADOS!K28</f>
        <v>N/A</v>
      </c>
      <c r="AH11" s="111" t="str">
        <f ca="1">RESULTADOS!L28</f>
        <v>N/A</v>
      </c>
      <c r="AI11" s="111" t="str">
        <f ca="1">RESULTADOS!M28</f>
        <v>N/A</v>
      </c>
      <c r="AJ11" s="111" t="str">
        <f ca="1">RESULTADOS!N28</f>
        <v>N/A</v>
      </c>
      <c r="AK11" s="111" t="str">
        <f ca="1">RESULTADOS!O28</f>
        <v>N/A</v>
      </c>
      <c r="AL11" s="111" t="str">
        <f ca="1">RESULTADOS!P28</f>
        <v>N/A</v>
      </c>
      <c r="AM11" s="111" t="str">
        <f ca="1">RESULTADOS!Q28</f>
        <v>N/A</v>
      </c>
      <c r="AN11" s="111" t="str">
        <f ca="1">RESULTADOS!R28</f>
        <v>N/A</v>
      </c>
      <c r="AO11" s="111" t="str">
        <f ca="1">RESULTADOS!S28</f>
        <v>N/A</v>
      </c>
      <c r="AP11" s="111" t="str">
        <f ca="1">RESULTADOS!T28</f>
        <v>N/A</v>
      </c>
      <c r="AQ11" s="111" t="str">
        <f ca="1">RESULTADOS!U28</f>
        <v>N/A</v>
      </c>
      <c r="AR11" s="111" t="str">
        <f ca="1">RESULTADOS!V28</f>
        <v>N/A</v>
      </c>
      <c r="AS11" s="111" t="str">
        <f ca="1">RESULTADOS!W28</f>
        <v>N/A</v>
      </c>
      <c r="AT11" s="111" t="str">
        <f ca="1">RESULTADOS!X28</f>
        <v>N/A</v>
      </c>
      <c r="AU11" s="111" t="str">
        <f ca="1">RESULTADOS!Y28</f>
        <v>N/A</v>
      </c>
      <c r="AV11" s="111" t="str">
        <f ca="1">RESULTADOS!Z28</f>
        <v>N/A</v>
      </c>
      <c r="AW11" s="111" t="str">
        <f ca="1">RESULTADOS!AA28</f>
        <v>N/A</v>
      </c>
      <c r="AX11" s="111" t="str">
        <f ca="1">RESULTADOS!AB28</f>
        <v>N/A</v>
      </c>
      <c r="AY11" s="111" t="str">
        <f ca="1">RESULTADOS!AC28</f>
        <v>N/A</v>
      </c>
      <c r="AZ11" s="111" t="str">
        <f ca="1">RESULTADOS!AD28</f>
        <v>N/A</v>
      </c>
      <c r="BA11" s="111" t="str">
        <f ca="1">RESULTADOS!AE28</f>
        <v>N/A</v>
      </c>
      <c r="BB11" s="111" t="str">
        <f ca="1">RESULTADOS!AF28</f>
        <v>N/A</v>
      </c>
      <c r="BC11" s="111" t="str">
        <f ca="1">RESULTADOS!AG28</f>
        <v>N/A</v>
      </c>
      <c r="BD11" s="111" t="str">
        <f ca="1">RESULTADOS!AH28</f>
        <v>N/A</v>
      </c>
      <c r="BE11" s="111" t="str">
        <f ca="1">RESULTADOS!AI28</f>
        <v>N/A</v>
      </c>
      <c r="BF11" s="111" t="str">
        <f ca="1">RESULTADOS!AJ28</f>
        <v>Pasa</v>
      </c>
      <c r="BG11" s="111" t="str">
        <f ca="1">RESULTADOS!AK28</f>
        <v>N/A</v>
      </c>
      <c r="BH11" s="111" t="str">
        <f ca="1">RESULTADOS!AL28</f>
        <v>N/A</v>
      </c>
      <c r="BI11" s="111" t="str">
        <f ca="1">RESULTADOS!AM28</f>
        <v>N/A</v>
      </c>
      <c r="BJ11" s="111" t="str">
        <f ca="1">RESULTADOS!AN28</f>
        <v>N/A</v>
      </c>
      <c r="BK11" s="111" t="str">
        <f ca="1">RESULTADOS!AO28</f>
        <v>Falla</v>
      </c>
      <c r="BL11" s="111" t="str">
        <f ca="1">RESULTADOS!AP28</f>
        <v>Falla</v>
      </c>
      <c r="BM11" s="111" t="str">
        <f ca="1">RESULTADOS!AQ28</f>
        <v>Falla</v>
      </c>
      <c r="BN11" s="111" t="str">
        <f ca="1">RESULTADOS!AR28</f>
        <v>Falla</v>
      </c>
      <c r="BO11" s="111" t="str">
        <f ca="1">RESULTADOS!AS28</f>
        <v>N/A</v>
      </c>
      <c r="BP11" s="111" t="str">
        <f ca="1">RESULTADOS!AT28</f>
        <v>Pasa</v>
      </c>
      <c r="BQ11" s="111" t="str">
        <f ca="1">RESULTADOS!AU28</f>
        <v>N/A</v>
      </c>
      <c r="BR11" s="111" t="str">
        <f ca="1">RESULTADOS!AV28</f>
        <v>Pasa</v>
      </c>
      <c r="BS11" s="111" t="str">
        <f ca="1">RESULTADOS!AW28</f>
        <v>Falla</v>
      </c>
      <c r="BT11" s="111" t="str">
        <f ca="1">RESULTADOS!AX28</f>
        <v>N/A</v>
      </c>
      <c r="BU11" s="111" t="str">
        <f ca="1">RESULTADOS!AY28</f>
        <v>Falla</v>
      </c>
      <c r="BV11" s="111" t="str">
        <f ca="1">RESULTADOS!AZ28</f>
        <v>Falla</v>
      </c>
      <c r="BW11" s="111" t="str">
        <f ca="1">RESULTADOS!BA28</f>
        <v>Pasa</v>
      </c>
      <c r="BX11" s="111" t="str">
        <f ca="1">RESULTADOS!BB28</f>
        <v>Falla</v>
      </c>
      <c r="BY11" s="111" t="str">
        <f ca="1">RESULTADOS!BC28</f>
        <v>Falla</v>
      </c>
      <c r="BZ11" s="111" t="str">
        <f ca="1">RESULTADOS!BD28</f>
        <v>Pasa</v>
      </c>
      <c r="CA11" s="111" t="str">
        <f ca="1">RESULTADOS!BE28</f>
        <v>N/A</v>
      </c>
      <c r="CB11" s="111" t="str">
        <f ca="1">RESULTADOS!BF28</f>
        <v>Pasa</v>
      </c>
      <c r="CC11" s="111" t="str">
        <f ca="1">RESULTADOS!BG28</f>
        <v>N/A</v>
      </c>
      <c r="CD11" s="111" t="str">
        <f ca="1">RESULTADOS!BH28</f>
        <v>N/A</v>
      </c>
      <c r="CE11" s="111" t="str">
        <f ca="1">RESULTADOS!BI28</f>
        <v>Pasa</v>
      </c>
      <c r="CF11" s="111" t="str">
        <f ca="1">RESULTADOS!BJ28</f>
        <v>Pasa</v>
      </c>
      <c r="CG11" s="111" t="str">
        <f ca="1">RESULTADOS!BK28</f>
        <v>Falla</v>
      </c>
      <c r="CH11" s="111" t="str">
        <f ca="1">RESULTADOS!BL28</f>
        <v>Falla</v>
      </c>
      <c r="CI11" s="111" t="str">
        <f ca="1">RESULTADOS!BM28</f>
        <v>Pasa</v>
      </c>
      <c r="CJ11" s="111" t="str">
        <f ca="1">RESULTADOS!BN28</f>
        <v>Pasa</v>
      </c>
      <c r="CK11" s="111" t="str">
        <f ca="1">RESULTADOS!BO28</f>
        <v>Falla</v>
      </c>
      <c r="CL11" s="111" t="str">
        <f ca="1">RESULTADOS!BP28</f>
        <v>N/A</v>
      </c>
      <c r="CM11" s="111" t="str">
        <f ca="1">RESULTADOS!BQ28</f>
        <v>Pasa</v>
      </c>
      <c r="CN11" s="111" t="str">
        <f ca="1">RESULTADOS!BR28</f>
        <v>Falla</v>
      </c>
      <c r="CO11" s="111" t="str">
        <f ca="1">RESULTADOS!BS28</f>
        <v>N/A</v>
      </c>
      <c r="CP11" s="111" t="str">
        <f ca="1">RESULTADOS!BT28</f>
        <v>Pasa</v>
      </c>
      <c r="CQ11" s="111" t="str">
        <f ca="1">RESULTADOS!BU28</f>
        <v>N/A</v>
      </c>
      <c r="CR11" s="111" t="str">
        <f ca="1">RESULTADOS!BV28</f>
        <v>Pasa</v>
      </c>
      <c r="CS11" s="111" t="str">
        <f ca="1">RESULTADOS!BW28</f>
        <v>Pasa</v>
      </c>
      <c r="CT11" s="111" t="str">
        <f ca="1">RESULTADOS!BX28</f>
        <v>Falla</v>
      </c>
      <c r="CU11" s="111" t="str">
        <f ca="1">RESULTADOS!BY28</f>
        <v>Pasa</v>
      </c>
      <c r="CV11" s="111" t="str">
        <f ca="1">RESULTADOS!BZ28</f>
        <v>N/A</v>
      </c>
      <c r="CW11" s="111" t="str">
        <f ca="1">RESULTADOS!CA28</f>
        <v>Pasa</v>
      </c>
      <c r="CX11" s="111" t="str">
        <f ca="1">RESULTADOS!CB28</f>
        <v>N/A</v>
      </c>
      <c r="CY11" s="111" t="str">
        <f ca="1">RESULTADOS!CC28</f>
        <v>N/A</v>
      </c>
      <c r="CZ11" s="111" t="str">
        <f ca="1">RESULTADOS!CD28</f>
        <v>N/A</v>
      </c>
      <c r="DA11" s="111" t="str">
        <f ca="1">RESULTADOS!CE28</f>
        <v>Pasa</v>
      </c>
      <c r="DB11" s="111" t="str">
        <f ca="1">RESULTADOS!CF28</f>
        <v>N/A</v>
      </c>
      <c r="DC11" s="111" t="str">
        <f ca="1">RESULTADOS!CG28</f>
        <v>Falla</v>
      </c>
      <c r="DD11" s="111" t="str">
        <f ca="1">RESULTADOS!CH28</f>
        <v>Falla</v>
      </c>
      <c r="DE11" s="111" t="str">
        <f ca="1">RESULTADOS!CI28</f>
        <v>N/A</v>
      </c>
      <c r="DF11" s="111" t="str">
        <f ca="1">RESULTADOS!CJ28</f>
        <v>N/A</v>
      </c>
      <c r="DG11" s="111" t="str">
        <f ca="1">RESULTADOS!CK28</f>
        <v>N/A</v>
      </c>
      <c r="DH11" s="111" t="str">
        <f ca="1">RESULTADOS!CL28</f>
        <v>N/A</v>
      </c>
      <c r="DI11" s="111" t="str">
        <f ca="1">RESULTADOS!CM28</f>
        <v>N/A</v>
      </c>
      <c r="DJ11" s="111" t="str">
        <f ca="1">RESULTADOS!CN28</f>
        <v>N/A</v>
      </c>
      <c r="DK11" s="111" t="str">
        <f ca="1">RESULTADOS!CO28</f>
        <v>N/A</v>
      </c>
      <c r="DL11" s="111" t="str">
        <f ca="1">RESULTADOS!CP28</f>
        <v>N/A</v>
      </c>
      <c r="DM11" s="111" t="str">
        <f ca="1">RESULTADOS!CQ28</f>
        <v>N/A</v>
      </c>
      <c r="DN11" s="111" t="str">
        <f ca="1">RESULTADOS!CR28</f>
        <v>N/A</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ht="13">
      <c r="C12" s="109" t="s">
        <v>27</v>
      </c>
      <c r="D12" s="112" t="str">
        <f>'01.Definición de ámbito'!C31</f>
        <v>Revisión del dominio solicitado</v>
      </c>
      <c r="E12" s="109" t="s">
        <v>63</v>
      </c>
      <c r="F12" s="112" t="str">
        <f>'02.Tecnologías'!I9</f>
        <v>No</v>
      </c>
      <c r="G12" s="112">
        <f>'02.Tecnologías'!K22</f>
        <v>0</v>
      </c>
      <c r="H12" s="112">
        <f>'02.Tecnologías'!L22</f>
        <v>0</v>
      </c>
      <c r="I12" s="162"/>
      <c r="J12" s="162"/>
      <c r="K12" s="22" t="s">
        <v>543</v>
      </c>
      <c r="L12" s="22" t="s">
        <v>337</v>
      </c>
      <c r="M12" s="22" t="s">
        <v>338</v>
      </c>
      <c r="N12" s="22" t="s">
        <v>179</v>
      </c>
      <c r="O12" s="22" t="s">
        <v>339</v>
      </c>
      <c r="P12" s="22" t="s">
        <v>544</v>
      </c>
      <c r="T12" s="113">
        <f>RESULTADOS!B29</f>
        <v>10</v>
      </c>
      <c r="U12" s="113" t="str">
        <f>RESULTADOS!C29</f>
        <v>Voto presencial</v>
      </c>
      <c r="V12" s="113" t="str">
        <f t="shared" si="0"/>
        <v>Página web</v>
      </c>
      <c r="W12" s="113" t="str">
        <v>Pagina tipo</v>
      </c>
      <c r="X12" s="113" t="str">
        <f>RESULTADOS!D29</f>
        <v>https://elecciones.comunidad.madrid/es/voto-local-electoral/voto-presencial</v>
      </c>
      <c r="Y12" s="113" t="str">
        <v>Home &gt; Votar &gt; Voto en Local Electoral  &gt; Voto presencial</v>
      </c>
      <c r="Z12" s="188">
        <v>0</v>
      </c>
      <c r="AA12" s="111" t="str">
        <f ca="1">RESULTADOS!E29</f>
        <v>Falla</v>
      </c>
      <c r="AB12" s="111" t="str">
        <f ca="1">RESULTADOS!F29</f>
        <v>N/A</v>
      </c>
      <c r="AC12" s="111" t="str">
        <f ca="1">RESULTADOS!G29</f>
        <v>N/A</v>
      </c>
      <c r="AD12" s="111" t="str">
        <f ca="1">RESULTADOS!H29</f>
        <v>N/A</v>
      </c>
      <c r="AE12" s="111" t="str">
        <f ca="1">RESULTADOS!I29</f>
        <v>N/A</v>
      </c>
      <c r="AF12" s="111" t="str">
        <f ca="1">RESULTADOS!J29</f>
        <v>N/A</v>
      </c>
      <c r="AG12" s="111" t="str">
        <f ca="1">RESULTADOS!K29</f>
        <v>N/A</v>
      </c>
      <c r="AH12" s="111" t="str">
        <f ca="1">RESULTADOS!L29</f>
        <v>N/A</v>
      </c>
      <c r="AI12" s="111" t="str">
        <f ca="1">RESULTADOS!M29</f>
        <v>N/A</v>
      </c>
      <c r="AJ12" s="111" t="str">
        <f ca="1">RESULTADOS!N29</f>
        <v>N/A</v>
      </c>
      <c r="AK12" s="111" t="str">
        <f ca="1">RESULTADOS!O29</f>
        <v>N/A</v>
      </c>
      <c r="AL12" s="111" t="str">
        <f ca="1">RESULTADOS!P29</f>
        <v>N/A</v>
      </c>
      <c r="AM12" s="111" t="str">
        <f ca="1">RESULTADOS!Q29</f>
        <v>N/A</v>
      </c>
      <c r="AN12" s="111" t="str">
        <f ca="1">RESULTADOS!R29</f>
        <v>N/A</v>
      </c>
      <c r="AO12" s="111" t="str">
        <f ca="1">RESULTADOS!S29</f>
        <v>N/A</v>
      </c>
      <c r="AP12" s="111" t="str">
        <f ca="1">RESULTADOS!T29</f>
        <v>N/A</v>
      </c>
      <c r="AQ12" s="111" t="str">
        <f ca="1">RESULTADOS!U29</f>
        <v>N/A</v>
      </c>
      <c r="AR12" s="111" t="str">
        <f ca="1">RESULTADOS!V29</f>
        <v>N/A</v>
      </c>
      <c r="AS12" s="111" t="str">
        <f ca="1">RESULTADOS!W29</f>
        <v>N/A</v>
      </c>
      <c r="AT12" s="111" t="str">
        <f ca="1">RESULTADOS!X29</f>
        <v>N/A</v>
      </c>
      <c r="AU12" s="111" t="str">
        <f ca="1">RESULTADOS!Y29</f>
        <v>N/A</v>
      </c>
      <c r="AV12" s="111" t="str">
        <f ca="1">RESULTADOS!Z29</f>
        <v>N/A</v>
      </c>
      <c r="AW12" s="111" t="str">
        <f ca="1">RESULTADOS!AA29</f>
        <v>Pasa</v>
      </c>
      <c r="AX12" s="111" t="str">
        <f ca="1">RESULTADOS!AB29</f>
        <v>Pasa</v>
      </c>
      <c r="AY12" s="111" t="str">
        <f ca="1">RESULTADOS!AC29</f>
        <v>N/A</v>
      </c>
      <c r="AZ12" s="111" t="str">
        <f ca="1">RESULTADOS!AD29</f>
        <v>N/A</v>
      </c>
      <c r="BA12" s="111" t="str">
        <f ca="1">RESULTADOS!AE29</f>
        <v>N/A</v>
      </c>
      <c r="BB12" s="111" t="str">
        <f ca="1">RESULTADOS!AF29</f>
        <v>Falla</v>
      </c>
      <c r="BC12" s="111" t="str">
        <f ca="1">RESULTADOS!AG29</f>
        <v>N/A</v>
      </c>
      <c r="BD12" s="111" t="str">
        <f ca="1">RESULTADOS!AH29</f>
        <v>N/A</v>
      </c>
      <c r="BE12" s="111" t="str">
        <f ca="1">RESULTADOS!AI29</f>
        <v>Falla</v>
      </c>
      <c r="BF12" s="111" t="str">
        <f ca="1">RESULTADOS!AJ29</f>
        <v>Pasa</v>
      </c>
      <c r="BG12" s="111" t="str">
        <f ca="1">RESULTADOS!AK29</f>
        <v>N/A</v>
      </c>
      <c r="BH12" s="111" t="str">
        <f ca="1">RESULTADOS!AL29</f>
        <v>Pasa</v>
      </c>
      <c r="BI12" s="111" t="str">
        <f ca="1">RESULTADOS!AM29</f>
        <v>Falla</v>
      </c>
      <c r="BJ12" s="111" t="str">
        <f ca="1">RESULTADOS!AN29</f>
        <v>Falla</v>
      </c>
      <c r="BK12" s="111" t="str">
        <f ca="1">RESULTADOS!AO29</f>
        <v>Falla</v>
      </c>
      <c r="BL12" s="111" t="str">
        <f ca="1">RESULTADOS!AP29</f>
        <v>Falla</v>
      </c>
      <c r="BM12" s="111" t="str">
        <f ca="1">RESULTADOS!AQ29</f>
        <v>Falla</v>
      </c>
      <c r="BN12" s="111" t="str">
        <f ca="1">RESULTADOS!AR29</f>
        <v>Falla</v>
      </c>
      <c r="BO12" s="111" t="str">
        <f ca="1">RESULTADOS!AS29</f>
        <v>N/A</v>
      </c>
      <c r="BP12" s="111" t="str">
        <f ca="1">RESULTADOS!AT29</f>
        <v>Pasa</v>
      </c>
      <c r="BQ12" s="111" t="str">
        <f ca="1">RESULTADOS!AU29</f>
        <v>N/A</v>
      </c>
      <c r="BR12" s="111" t="str">
        <f ca="1">RESULTADOS!AV29</f>
        <v>Pasa</v>
      </c>
      <c r="BS12" s="111" t="str">
        <f ca="1">RESULTADOS!AW29</f>
        <v>Falla</v>
      </c>
      <c r="BT12" s="111" t="str">
        <f ca="1">RESULTADOS!AX29</f>
        <v>N/A</v>
      </c>
      <c r="BU12" s="111" t="str">
        <f ca="1">RESULTADOS!AY29</f>
        <v>Falla</v>
      </c>
      <c r="BV12" s="111" t="str">
        <f ca="1">RESULTADOS!AZ29</f>
        <v>Falla</v>
      </c>
      <c r="BW12" s="111" t="str">
        <f ca="1">RESULTADOS!BA29</f>
        <v>Pasa</v>
      </c>
      <c r="BX12" s="111" t="str">
        <f ca="1">RESULTADOS!BB29</f>
        <v>Falla</v>
      </c>
      <c r="BY12" s="111" t="str">
        <f ca="1">RESULTADOS!BC29</f>
        <v>Falla</v>
      </c>
      <c r="BZ12" s="111" t="str">
        <f ca="1">RESULTADOS!BD29</f>
        <v>Pasa</v>
      </c>
      <c r="CA12" s="111" t="str">
        <f ca="1">RESULTADOS!BE29</f>
        <v>N/A</v>
      </c>
      <c r="CB12" s="111" t="str">
        <f ca="1">RESULTADOS!BF29</f>
        <v>Pasa</v>
      </c>
      <c r="CC12" s="111" t="str">
        <f ca="1">RESULTADOS!BG29</f>
        <v>N/A</v>
      </c>
      <c r="CD12" s="111" t="str">
        <f ca="1">RESULTADOS!BH29</f>
        <v>N/A</v>
      </c>
      <c r="CE12" s="111" t="str">
        <f ca="1">RESULTADOS!BI29</f>
        <v>Pasa</v>
      </c>
      <c r="CF12" s="111" t="str">
        <f ca="1">RESULTADOS!BJ29</f>
        <v>Pasa</v>
      </c>
      <c r="CG12" s="111" t="str">
        <f ca="1">RESULTADOS!BK29</f>
        <v>Falla</v>
      </c>
      <c r="CH12" s="111" t="str">
        <f ca="1">RESULTADOS!BL29</f>
        <v>Falla</v>
      </c>
      <c r="CI12" s="111" t="str">
        <f ca="1">RESULTADOS!BM29</f>
        <v>Pasa</v>
      </c>
      <c r="CJ12" s="111" t="str">
        <f ca="1">RESULTADOS!BN29</f>
        <v>Pasa</v>
      </c>
      <c r="CK12" s="111" t="str">
        <f ca="1">RESULTADOS!BO29</f>
        <v>Falla</v>
      </c>
      <c r="CL12" s="111" t="str">
        <f ca="1">RESULTADOS!BP29</f>
        <v>N/A</v>
      </c>
      <c r="CM12" s="111" t="str">
        <f ca="1">RESULTADOS!BQ29</f>
        <v>Pasa</v>
      </c>
      <c r="CN12" s="111" t="str">
        <f ca="1">RESULTADOS!BR29</f>
        <v>Falla</v>
      </c>
      <c r="CO12" s="111" t="str">
        <f ca="1">RESULTADOS!BS29</f>
        <v>N/A</v>
      </c>
      <c r="CP12" s="111" t="str">
        <f ca="1">RESULTADOS!BT29</f>
        <v>Pasa</v>
      </c>
      <c r="CQ12" s="111" t="str">
        <f ca="1">RESULTADOS!BU29</f>
        <v>N/A</v>
      </c>
      <c r="CR12" s="111" t="str">
        <f ca="1">RESULTADOS!BV29</f>
        <v>Pasa</v>
      </c>
      <c r="CS12" s="111" t="str">
        <f ca="1">RESULTADOS!BW29</f>
        <v>Pasa</v>
      </c>
      <c r="CT12" s="111" t="str">
        <f ca="1">RESULTADOS!BX29</f>
        <v>Pasa</v>
      </c>
      <c r="CU12" s="111" t="str">
        <f ca="1">RESULTADOS!BY29</f>
        <v>Pasa</v>
      </c>
      <c r="CV12" s="111" t="str">
        <f ca="1">RESULTADOS!BZ29</f>
        <v>N/A</v>
      </c>
      <c r="CW12" s="111" t="str">
        <f ca="1">RESULTADOS!CA29</f>
        <v>Pasa</v>
      </c>
      <c r="CX12" s="111" t="str">
        <f ca="1">RESULTADOS!CB29</f>
        <v>N/A</v>
      </c>
      <c r="CY12" s="111" t="str">
        <f ca="1">RESULTADOS!CC29</f>
        <v>N/A</v>
      </c>
      <c r="CZ12" s="111" t="str">
        <f ca="1">RESULTADOS!CD29</f>
        <v>N/A</v>
      </c>
      <c r="DA12" s="111" t="str">
        <f ca="1">RESULTADOS!CE29</f>
        <v>Pasa</v>
      </c>
      <c r="DB12" s="111" t="str">
        <f ca="1">RESULTADOS!CF29</f>
        <v>N/A</v>
      </c>
      <c r="DC12" s="111" t="str">
        <f ca="1">RESULTADOS!CG29</f>
        <v>Falla</v>
      </c>
      <c r="DD12" s="111" t="str">
        <f ca="1">RESULTADOS!CH29</f>
        <v>Falla</v>
      </c>
      <c r="DE12" s="111" t="str">
        <f ca="1">RESULTADOS!CI29</f>
        <v>N/A</v>
      </c>
      <c r="DF12" s="111" t="str">
        <f ca="1">RESULTADOS!CJ29</f>
        <v>N/A</v>
      </c>
      <c r="DG12" s="111" t="str">
        <f ca="1">RESULTADOS!CK29</f>
        <v>N/A</v>
      </c>
      <c r="DH12" s="111" t="str">
        <f ca="1">RESULTADOS!CL29</f>
        <v>N/A</v>
      </c>
      <c r="DI12" s="111" t="str">
        <f ca="1">RESULTADOS!CM29</f>
        <v>N/A</v>
      </c>
      <c r="DJ12" s="111" t="str">
        <f ca="1">RESULTADOS!CN29</f>
        <v>N/A</v>
      </c>
      <c r="DK12" s="111" t="str">
        <f ca="1">RESULTADOS!CO29</f>
        <v>N/A</v>
      </c>
      <c r="DL12" s="111" t="str">
        <f ca="1">RESULTADOS!CP29</f>
        <v>N/A</v>
      </c>
      <c r="DM12" s="111" t="str">
        <f ca="1">RESULTADOS!CQ29</f>
        <v>N/A</v>
      </c>
      <c r="DN12" s="111" t="str">
        <f ca="1">RESULTADOS!CR29</f>
        <v>N/A</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ht="13">
      <c r="C13" s="109" t="s">
        <v>29</v>
      </c>
      <c r="D13" s="112" t="str">
        <f>'01.Definición de ámbito'!C33</f>
        <v>Inofrmación sobre las elecciones del 28 de mayo</v>
      </c>
      <c r="E13" s="109" t="s">
        <v>66</v>
      </c>
      <c r="F13" s="112" t="str">
        <f>'02.Tecnologías'!I10</f>
        <v>No</v>
      </c>
      <c r="G13" s="112">
        <f>'02.Tecnologías'!K23</f>
        <v>0</v>
      </c>
      <c r="H13" s="112">
        <f>'02.Tecnologías'!L23</f>
        <v>0</v>
      </c>
      <c r="I13" s="162"/>
      <c r="J13" s="162"/>
      <c r="K13" t="s">
        <v>545</v>
      </c>
      <c r="L13" s="164" t="str">
        <f ca="1">RESULTADOS!E8</f>
        <v>22 (23,91 %)</v>
      </c>
      <c r="M13" s="164" t="str">
        <f ca="1">RESULTADOS!F8</f>
        <v>28 (30,43 %)</v>
      </c>
      <c r="N13" s="164" t="str">
        <f ca="1">RESULTADOS!G8</f>
        <v>42 (45,65 %)</v>
      </c>
      <c r="O13" s="113">
        <f ca="1">RESULTADOS!H8</f>
        <v>0</v>
      </c>
      <c r="P13" s="113">
        <f ca="1">RESULTADOS!I8</f>
        <v>0</v>
      </c>
      <c r="T13" s="113">
        <f>RESULTADOS!B30</f>
        <v>11</v>
      </c>
      <c r="U13" s="113" t="str">
        <f>RESULTADOS!C30</f>
        <v>Ciudadanos temporalmente en el extranjero</v>
      </c>
      <c r="V13" s="113" t="str">
        <f t="shared" si="0"/>
        <v>Página web</v>
      </c>
      <c r="W13" s="113" t="str">
        <v>Pagina tipo</v>
      </c>
      <c r="X13" s="113" t="str">
        <f>RESULTADOS!D30</f>
        <v>https://elecciones.comunidad.madrid/es/voto-correo/solicitud-voto-temporalmente-ausentes</v>
      </c>
      <c r="Y13" s="113" t="str">
        <v>Home &gt; Votar &gt; Voto por correo &gt; Ciudadanos temporalmente en el extranjero</v>
      </c>
      <c r="Z13" s="188">
        <v>0</v>
      </c>
      <c r="AA13" s="111" t="str">
        <f ca="1">RESULTADOS!E30</f>
        <v>Falla</v>
      </c>
      <c r="AB13" s="111" t="str">
        <f ca="1">RESULTADOS!F30</f>
        <v>N/A</v>
      </c>
      <c r="AC13" s="111" t="str">
        <f ca="1">RESULTADOS!G30</f>
        <v>N/A</v>
      </c>
      <c r="AD13" s="111" t="str">
        <f ca="1">RESULTADOS!H30</f>
        <v>N/A</v>
      </c>
      <c r="AE13" s="111" t="str">
        <f ca="1">RESULTADOS!I30</f>
        <v>N/A</v>
      </c>
      <c r="AF13" s="111" t="str">
        <f ca="1">RESULTADOS!J30</f>
        <v>N/A</v>
      </c>
      <c r="AG13" s="111" t="str">
        <f ca="1">RESULTADOS!K30</f>
        <v>N/A</v>
      </c>
      <c r="AH13" s="111" t="str">
        <f ca="1">RESULTADOS!L30</f>
        <v>N/A</v>
      </c>
      <c r="AI13" s="111" t="str">
        <f ca="1">RESULTADOS!M30</f>
        <v>N/A</v>
      </c>
      <c r="AJ13" s="111" t="str">
        <f ca="1">RESULTADOS!N30</f>
        <v>N/A</v>
      </c>
      <c r="AK13" s="111" t="str">
        <f ca="1">RESULTADOS!O30</f>
        <v>N/A</v>
      </c>
      <c r="AL13" s="111" t="str">
        <f ca="1">RESULTADOS!P30</f>
        <v>N/A</v>
      </c>
      <c r="AM13" s="111" t="str">
        <f ca="1">RESULTADOS!Q30</f>
        <v>N/A</v>
      </c>
      <c r="AN13" s="111" t="str">
        <f ca="1">RESULTADOS!R30</f>
        <v>N/A</v>
      </c>
      <c r="AO13" s="111" t="str">
        <f ca="1">RESULTADOS!S30</f>
        <v>N/A</v>
      </c>
      <c r="AP13" s="111" t="str">
        <f ca="1">RESULTADOS!T30</f>
        <v>N/A</v>
      </c>
      <c r="AQ13" s="111" t="str">
        <f ca="1">RESULTADOS!U30</f>
        <v>N/A</v>
      </c>
      <c r="AR13" s="111" t="str">
        <f ca="1">RESULTADOS!V30</f>
        <v>N/A</v>
      </c>
      <c r="AS13" s="111" t="str">
        <f ca="1">RESULTADOS!W30</f>
        <v>N/A</v>
      </c>
      <c r="AT13" s="111" t="str">
        <f ca="1">RESULTADOS!X30</f>
        <v>N/A</v>
      </c>
      <c r="AU13" s="111" t="str">
        <f ca="1">RESULTADOS!Y30</f>
        <v>N/A</v>
      </c>
      <c r="AV13" s="111" t="str">
        <f ca="1">RESULTADOS!Z30</f>
        <v>N/A</v>
      </c>
      <c r="AW13" s="111" t="str">
        <f ca="1">RESULTADOS!AA30</f>
        <v>Pasa</v>
      </c>
      <c r="AX13" s="111" t="str">
        <f ca="1">RESULTADOS!AB30</f>
        <v>Pasa</v>
      </c>
      <c r="AY13" s="111" t="str">
        <f ca="1">RESULTADOS!AC30</f>
        <v>N/A</v>
      </c>
      <c r="AZ13" s="111" t="str">
        <f ca="1">RESULTADOS!AD30</f>
        <v>N/A</v>
      </c>
      <c r="BA13" s="111" t="str">
        <f ca="1">RESULTADOS!AE30</f>
        <v>N/A</v>
      </c>
      <c r="BB13" s="111" t="str">
        <f ca="1">RESULTADOS!AF30</f>
        <v>Falla</v>
      </c>
      <c r="BC13" s="111" t="str">
        <f ca="1">RESULTADOS!AG30</f>
        <v>N/A</v>
      </c>
      <c r="BD13" s="111" t="str">
        <f ca="1">RESULTADOS!AH30</f>
        <v>N/A</v>
      </c>
      <c r="BE13" s="111" t="str">
        <f ca="1">RESULTADOS!AI30</f>
        <v>Falla</v>
      </c>
      <c r="BF13" s="111" t="str">
        <f ca="1">RESULTADOS!AJ30</f>
        <v>Pasa</v>
      </c>
      <c r="BG13" s="111" t="str">
        <f ca="1">RESULTADOS!AK30</f>
        <v>N/A</v>
      </c>
      <c r="BH13" s="111" t="str">
        <f ca="1">RESULTADOS!AL30</f>
        <v>Pasa</v>
      </c>
      <c r="BI13" s="111" t="str">
        <f ca="1">RESULTADOS!AM30</f>
        <v>Falla</v>
      </c>
      <c r="BJ13" s="111" t="str">
        <f ca="1">RESULTADOS!AN30</f>
        <v>Falla</v>
      </c>
      <c r="BK13" s="111" t="str">
        <f ca="1">RESULTADOS!AO30</f>
        <v>Falla</v>
      </c>
      <c r="BL13" s="111" t="str">
        <f ca="1">RESULTADOS!AP30</f>
        <v>Falla</v>
      </c>
      <c r="BM13" s="111" t="str">
        <f ca="1">RESULTADOS!AQ30</f>
        <v>Falla</v>
      </c>
      <c r="BN13" s="111" t="str">
        <f ca="1">RESULTADOS!AR30</f>
        <v>Falla</v>
      </c>
      <c r="BO13" s="111" t="str">
        <f ca="1">RESULTADOS!AS30</f>
        <v>N/A</v>
      </c>
      <c r="BP13" s="111" t="str">
        <f ca="1">RESULTADOS!AT30</f>
        <v>Pasa</v>
      </c>
      <c r="BQ13" s="111" t="str">
        <f ca="1">RESULTADOS!AU30</f>
        <v>N/A</v>
      </c>
      <c r="BR13" s="111" t="str">
        <f ca="1">RESULTADOS!AV30</f>
        <v>Pasa</v>
      </c>
      <c r="BS13" s="111" t="str">
        <f ca="1">RESULTADOS!AW30</f>
        <v>Falla</v>
      </c>
      <c r="BT13" s="111" t="str">
        <f ca="1">RESULTADOS!AX30</f>
        <v>N/A</v>
      </c>
      <c r="BU13" s="111" t="str">
        <f ca="1">RESULTADOS!AY30</f>
        <v>Falla</v>
      </c>
      <c r="BV13" s="111" t="str">
        <f ca="1">RESULTADOS!AZ30</f>
        <v>Falla</v>
      </c>
      <c r="BW13" s="111" t="str">
        <f ca="1">RESULTADOS!BA30</f>
        <v>Pasa</v>
      </c>
      <c r="BX13" s="111" t="str">
        <f ca="1">RESULTADOS!BB30</f>
        <v>Falla</v>
      </c>
      <c r="BY13" s="111" t="str">
        <f ca="1">RESULTADOS!BC30</f>
        <v>Falla</v>
      </c>
      <c r="BZ13" s="111" t="str">
        <f ca="1">RESULTADOS!BD30</f>
        <v>Pasa</v>
      </c>
      <c r="CA13" s="111" t="str">
        <f ca="1">RESULTADOS!BE30</f>
        <v>N/A</v>
      </c>
      <c r="CB13" s="111" t="str">
        <f ca="1">RESULTADOS!BF30</f>
        <v>Pasa</v>
      </c>
      <c r="CC13" s="111" t="str">
        <f ca="1">RESULTADOS!BG30</f>
        <v>N/A</v>
      </c>
      <c r="CD13" s="111" t="str">
        <f ca="1">RESULTADOS!BH30</f>
        <v>N/A</v>
      </c>
      <c r="CE13" s="111" t="str">
        <f ca="1">RESULTADOS!BI30</f>
        <v>Pasa</v>
      </c>
      <c r="CF13" s="111" t="str">
        <f ca="1">RESULTADOS!BJ30</f>
        <v>Pasa</v>
      </c>
      <c r="CG13" s="111" t="str">
        <f ca="1">RESULTADOS!BK30</f>
        <v>Falla</v>
      </c>
      <c r="CH13" s="111" t="str">
        <f ca="1">RESULTADOS!BL30</f>
        <v>Falla</v>
      </c>
      <c r="CI13" s="111" t="str">
        <f ca="1">RESULTADOS!BM30</f>
        <v>Pasa</v>
      </c>
      <c r="CJ13" s="111" t="str">
        <f ca="1">RESULTADOS!BN30</f>
        <v>Pasa</v>
      </c>
      <c r="CK13" s="111" t="str">
        <f ca="1">RESULTADOS!BO30</f>
        <v>Falla</v>
      </c>
      <c r="CL13" s="111" t="str">
        <f ca="1">RESULTADOS!BP30</f>
        <v>N/A</v>
      </c>
      <c r="CM13" s="111" t="str">
        <f ca="1">RESULTADOS!BQ30</f>
        <v>Pasa</v>
      </c>
      <c r="CN13" s="111" t="str">
        <f ca="1">RESULTADOS!BR30</f>
        <v>Falla</v>
      </c>
      <c r="CO13" s="111" t="str">
        <f ca="1">RESULTADOS!BS30</f>
        <v>N/A</v>
      </c>
      <c r="CP13" s="111" t="str">
        <f ca="1">RESULTADOS!BT30</f>
        <v>Pasa</v>
      </c>
      <c r="CQ13" s="111" t="str">
        <f ca="1">RESULTADOS!BU30</f>
        <v>N/A</v>
      </c>
      <c r="CR13" s="111" t="str">
        <f ca="1">RESULTADOS!BV30</f>
        <v>Pasa</v>
      </c>
      <c r="CS13" s="111" t="str">
        <f ca="1">RESULTADOS!BW30</f>
        <v>Pasa</v>
      </c>
      <c r="CT13" s="111" t="str">
        <f ca="1">RESULTADOS!BX30</f>
        <v>Falla</v>
      </c>
      <c r="CU13" s="111" t="str">
        <f ca="1">RESULTADOS!BY30</f>
        <v>Pasa</v>
      </c>
      <c r="CV13" s="111" t="str">
        <f ca="1">RESULTADOS!BZ30</f>
        <v>N/A</v>
      </c>
      <c r="CW13" s="111" t="str">
        <f ca="1">RESULTADOS!CA30</f>
        <v>Pasa</v>
      </c>
      <c r="CX13" s="111" t="str">
        <f ca="1">RESULTADOS!CB30</f>
        <v>N/A</v>
      </c>
      <c r="CY13" s="111" t="str">
        <f ca="1">RESULTADOS!CC30</f>
        <v>N/A</v>
      </c>
      <c r="CZ13" s="111" t="str">
        <f ca="1">RESULTADOS!CD30</f>
        <v>N/A</v>
      </c>
      <c r="DA13" s="111" t="str">
        <f ca="1">RESULTADOS!CE30</f>
        <v>Pasa</v>
      </c>
      <c r="DB13" s="111" t="str">
        <f ca="1">RESULTADOS!CF30</f>
        <v>N/A</v>
      </c>
      <c r="DC13" s="111" t="str">
        <f ca="1">RESULTADOS!CG30</f>
        <v>Falla</v>
      </c>
      <c r="DD13" s="111" t="str">
        <f ca="1">RESULTADOS!CH30</f>
        <v>Falla</v>
      </c>
      <c r="DE13" s="111" t="str">
        <f ca="1">RESULTADOS!CI30</f>
        <v>N/A</v>
      </c>
      <c r="DF13" s="111" t="str">
        <f ca="1">RESULTADOS!CJ30</f>
        <v>N/A</v>
      </c>
      <c r="DG13" s="111" t="str">
        <f ca="1">RESULTADOS!CK30</f>
        <v>N/A</v>
      </c>
      <c r="DH13" s="111" t="str">
        <f ca="1">RESULTADOS!CL30</f>
        <v>N/A</v>
      </c>
      <c r="DI13" s="111" t="str">
        <f ca="1">RESULTADOS!CM30</f>
        <v>N/A</v>
      </c>
      <c r="DJ13" s="111" t="str">
        <f ca="1">RESULTADOS!CN30</f>
        <v>N/A</v>
      </c>
      <c r="DK13" s="111" t="str">
        <f ca="1">RESULTADOS!CO30</f>
        <v>N/A</v>
      </c>
      <c r="DL13" s="111" t="str">
        <f ca="1">RESULTADOS!CP30</f>
        <v>N/A</v>
      </c>
      <c r="DM13" s="111" t="str">
        <f ca="1">RESULTADOS!CQ30</f>
        <v>N/A</v>
      </c>
      <c r="DN13" s="111" t="str">
        <f ca="1">RESULTADOS!CR30</f>
        <v>N/A</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ht="13">
      <c r="C14" s="109" t="s">
        <v>31</v>
      </c>
      <c r="D14" s="112">
        <f>'01.Definición de ámbito'!C35</f>
        <v>45901</v>
      </c>
      <c r="E14" s="109" t="s">
        <v>69</v>
      </c>
      <c r="F14" s="112" t="str">
        <f>'02.Tecnologías'!I11</f>
        <v>No</v>
      </c>
      <c r="G14" s="161"/>
      <c r="H14" s="161"/>
      <c r="I14" s="161"/>
      <c r="J14" s="161"/>
      <c r="K14" t="s">
        <v>546</v>
      </c>
      <c r="L14" s="164" t="str">
        <f ca="1">RESULTADOS!E9</f>
        <v>0 (0 %)</v>
      </c>
      <c r="M14" s="164" t="str">
        <f ca="1">RESULTADOS!F9</f>
        <v>0 (0 %)</v>
      </c>
      <c r="N14" s="164" t="str">
        <f ca="1">RESULTADOS!G9</f>
        <v>45 (100 %)</v>
      </c>
      <c r="O14" s="113">
        <f ca="1">RESULTADOS!H9</f>
        <v>0</v>
      </c>
      <c r="P14" s="113">
        <f ca="1">RESULTADOS!I9</f>
        <v>0</v>
      </c>
      <c r="T14" s="113">
        <f>RESULTADOS!B31</f>
        <v>12</v>
      </c>
      <c r="U14" s="113" t="str">
        <f>RESULTADOS!C31</f>
        <v>Nuevo votante</v>
      </c>
      <c r="V14" s="113" t="str">
        <f t="shared" si="0"/>
        <v>Página web</v>
      </c>
      <c r="W14" s="113" t="str">
        <v>Pagina tipo</v>
      </c>
      <c r="X14" s="113" t="str">
        <f>RESULTADOS!D31</f>
        <v>https://elecciones.comunidad.madrid/es/votar/nuevo-votante</v>
      </c>
      <c r="Y14" s="113" t="str">
        <v>Home &gt; Votar  Nuevo votante</v>
      </c>
      <c r="Z14" s="188">
        <v>0</v>
      </c>
      <c r="AA14" s="111" t="str">
        <f ca="1">RESULTADOS!E31</f>
        <v>Falla</v>
      </c>
      <c r="AB14" s="111" t="str">
        <f ca="1">RESULTADOS!F31</f>
        <v>N/A</v>
      </c>
      <c r="AC14" s="111" t="str">
        <f ca="1">RESULTADOS!G31</f>
        <v>N/A</v>
      </c>
      <c r="AD14" s="111" t="str">
        <f ca="1">RESULTADOS!H31</f>
        <v>N/A</v>
      </c>
      <c r="AE14" s="111" t="str">
        <f ca="1">RESULTADOS!I31</f>
        <v>N/A</v>
      </c>
      <c r="AF14" s="111" t="str">
        <f ca="1">RESULTADOS!J31</f>
        <v>N/A</v>
      </c>
      <c r="AG14" s="111" t="str">
        <f ca="1">RESULTADOS!K31</f>
        <v>N/A</v>
      </c>
      <c r="AH14" s="111" t="str">
        <f ca="1">RESULTADOS!L31</f>
        <v>N/A</v>
      </c>
      <c r="AI14" s="111" t="str">
        <f ca="1">RESULTADOS!M31</f>
        <v>N/A</v>
      </c>
      <c r="AJ14" s="111" t="str">
        <f ca="1">RESULTADOS!N31</f>
        <v>N/A</v>
      </c>
      <c r="AK14" s="111" t="str">
        <f ca="1">RESULTADOS!O31</f>
        <v>N/A</v>
      </c>
      <c r="AL14" s="111" t="str">
        <f ca="1">RESULTADOS!P31</f>
        <v>N/A</v>
      </c>
      <c r="AM14" s="111" t="str">
        <f ca="1">RESULTADOS!Q31</f>
        <v>N/A</v>
      </c>
      <c r="AN14" s="111" t="str">
        <f ca="1">RESULTADOS!R31</f>
        <v>N/A</v>
      </c>
      <c r="AO14" s="111" t="str">
        <f ca="1">RESULTADOS!S31</f>
        <v>N/A</v>
      </c>
      <c r="AP14" s="111" t="str">
        <f ca="1">RESULTADOS!T31</f>
        <v>N/A</v>
      </c>
      <c r="AQ14" s="111" t="str">
        <f ca="1">RESULTADOS!U31</f>
        <v>N/A</v>
      </c>
      <c r="AR14" s="111" t="str">
        <f ca="1">RESULTADOS!V31</f>
        <v>N/A</v>
      </c>
      <c r="AS14" s="111" t="str">
        <f ca="1">RESULTADOS!W31</f>
        <v>N/A</v>
      </c>
      <c r="AT14" s="111" t="str">
        <f ca="1">RESULTADOS!X31</f>
        <v>N/A</v>
      </c>
      <c r="AU14" s="111" t="str">
        <f ca="1">RESULTADOS!Y31</f>
        <v>N/A</v>
      </c>
      <c r="AV14" s="111" t="str">
        <f ca="1">RESULTADOS!Z31</f>
        <v>N/A</v>
      </c>
      <c r="AW14" s="111" t="str">
        <f ca="1">RESULTADOS!AA31</f>
        <v>Pasa</v>
      </c>
      <c r="AX14" s="111" t="str">
        <f ca="1">RESULTADOS!AB31</f>
        <v>Pasa</v>
      </c>
      <c r="AY14" s="111" t="str">
        <f ca="1">RESULTADOS!AC31</f>
        <v>N/A</v>
      </c>
      <c r="AZ14" s="111" t="str">
        <f ca="1">RESULTADOS!AD31</f>
        <v>N/A</v>
      </c>
      <c r="BA14" s="111" t="str">
        <f ca="1">RESULTADOS!AE31</f>
        <v>N/A</v>
      </c>
      <c r="BB14" s="111" t="str">
        <f ca="1">RESULTADOS!AF31</f>
        <v>Falla</v>
      </c>
      <c r="BC14" s="111" t="str">
        <f ca="1">RESULTADOS!AG31</f>
        <v>N/A</v>
      </c>
      <c r="BD14" s="111" t="str">
        <f ca="1">RESULTADOS!AH31</f>
        <v>N/A</v>
      </c>
      <c r="BE14" s="111" t="str">
        <f ca="1">RESULTADOS!AI31</f>
        <v>Falla</v>
      </c>
      <c r="BF14" s="111" t="str">
        <f ca="1">RESULTADOS!AJ31</f>
        <v>Pasa</v>
      </c>
      <c r="BG14" s="111" t="str">
        <f ca="1">RESULTADOS!AK31</f>
        <v>N/A</v>
      </c>
      <c r="BH14" s="111" t="str">
        <f ca="1">RESULTADOS!AL31</f>
        <v>Pasa</v>
      </c>
      <c r="BI14" s="111" t="str">
        <f ca="1">RESULTADOS!AM31</f>
        <v>Falla</v>
      </c>
      <c r="BJ14" s="111" t="str">
        <f ca="1">RESULTADOS!AN31</f>
        <v>Falla</v>
      </c>
      <c r="BK14" s="111" t="str">
        <f ca="1">RESULTADOS!AO31</f>
        <v>Falla</v>
      </c>
      <c r="BL14" s="111" t="str">
        <f ca="1">RESULTADOS!AP31</f>
        <v>Falla</v>
      </c>
      <c r="BM14" s="111" t="str">
        <f ca="1">RESULTADOS!AQ31</f>
        <v>Falla</v>
      </c>
      <c r="BN14" s="111" t="str">
        <f ca="1">RESULTADOS!AR31</f>
        <v>Falla</v>
      </c>
      <c r="BO14" s="111" t="str">
        <f ca="1">RESULTADOS!AS31</f>
        <v>N/A</v>
      </c>
      <c r="BP14" s="111" t="str">
        <f ca="1">RESULTADOS!AT31</f>
        <v>Pasa</v>
      </c>
      <c r="BQ14" s="111" t="str">
        <f ca="1">RESULTADOS!AU31</f>
        <v>N/A</v>
      </c>
      <c r="BR14" s="111" t="str">
        <f ca="1">RESULTADOS!AV31</f>
        <v>Pasa</v>
      </c>
      <c r="BS14" s="111" t="str">
        <f ca="1">RESULTADOS!AW31</f>
        <v>Falla</v>
      </c>
      <c r="BT14" s="111" t="str">
        <f ca="1">RESULTADOS!AX31</f>
        <v>N/A</v>
      </c>
      <c r="BU14" s="111" t="str">
        <f ca="1">RESULTADOS!AY31</f>
        <v>Falla</v>
      </c>
      <c r="BV14" s="111" t="str">
        <f ca="1">RESULTADOS!AZ31</f>
        <v>Falla</v>
      </c>
      <c r="BW14" s="111" t="str">
        <f ca="1">RESULTADOS!BA31</f>
        <v>Pasa</v>
      </c>
      <c r="BX14" s="111" t="str">
        <f ca="1">RESULTADOS!BB31</f>
        <v>Falla</v>
      </c>
      <c r="BY14" s="111" t="str">
        <f ca="1">RESULTADOS!BC31</f>
        <v>Falla</v>
      </c>
      <c r="BZ14" s="111" t="str">
        <f ca="1">RESULTADOS!BD31</f>
        <v>Pasa</v>
      </c>
      <c r="CA14" s="111" t="str">
        <f ca="1">RESULTADOS!BE31</f>
        <v>N/A</v>
      </c>
      <c r="CB14" s="111" t="str">
        <f ca="1">RESULTADOS!BF31</f>
        <v>Pasa</v>
      </c>
      <c r="CC14" s="111" t="str">
        <f ca="1">RESULTADOS!BG31</f>
        <v>N/A</v>
      </c>
      <c r="CD14" s="111" t="str">
        <f ca="1">RESULTADOS!BH31</f>
        <v>N/A</v>
      </c>
      <c r="CE14" s="111" t="str">
        <f ca="1">RESULTADOS!BI31</f>
        <v>Pasa</v>
      </c>
      <c r="CF14" s="111" t="str">
        <f ca="1">RESULTADOS!BJ31</f>
        <v>Pasa</v>
      </c>
      <c r="CG14" s="111" t="str">
        <f ca="1">RESULTADOS!BK31</f>
        <v>Falla</v>
      </c>
      <c r="CH14" s="111" t="str">
        <f ca="1">RESULTADOS!BL31</f>
        <v>Falla</v>
      </c>
      <c r="CI14" s="111" t="str">
        <f ca="1">RESULTADOS!BM31</f>
        <v>Pasa</v>
      </c>
      <c r="CJ14" s="111" t="str">
        <f ca="1">RESULTADOS!BN31</f>
        <v>Pasa</v>
      </c>
      <c r="CK14" s="111" t="str">
        <f ca="1">RESULTADOS!BO31</f>
        <v>Falla</v>
      </c>
      <c r="CL14" s="111" t="str">
        <f ca="1">RESULTADOS!BP31</f>
        <v>N/A</v>
      </c>
      <c r="CM14" s="111" t="str">
        <f ca="1">RESULTADOS!BQ31</f>
        <v>Pasa</v>
      </c>
      <c r="CN14" s="111" t="str">
        <f ca="1">RESULTADOS!BR31</f>
        <v>Falla</v>
      </c>
      <c r="CO14" s="111" t="str">
        <f ca="1">RESULTADOS!BS31</f>
        <v>N/A</v>
      </c>
      <c r="CP14" s="111" t="str">
        <f ca="1">RESULTADOS!BT31</f>
        <v>Pasa</v>
      </c>
      <c r="CQ14" s="111" t="str">
        <f ca="1">RESULTADOS!BU31</f>
        <v>N/A</v>
      </c>
      <c r="CR14" s="111" t="str">
        <f ca="1">RESULTADOS!BV31</f>
        <v>Pasa</v>
      </c>
      <c r="CS14" s="111" t="str">
        <f ca="1">RESULTADOS!BW31</f>
        <v>Pasa</v>
      </c>
      <c r="CT14" s="111" t="str">
        <f ca="1">RESULTADOS!BX31</f>
        <v>Pasa</v>
      </c>
      <c r="CU14" s="111" t="str">
        <f ca="1">RESULTADOS!BY31</f>
        <v>Pasa</v>
      </c>
      <c r="CV14" s="111" t="str">
        <f ca="1">RESULTADOS!BZ31</f>
        <v>N/A</v>
      </c>
      <c r="CW14" s="111" t="str">
        <f ca="1">RESULTADOS!CA31</f>
        <v>Pasa</v>
      </c>
      <c r="CX14" s="111" t="str">
        <f ca="1">RESULTADOS!CB31</f>
        <v>N/A</v>
      </c>
      <c r="CY14" s="111" t="str">
        <f ca="1">RESULTADOS!CC31</f>
        <v>N/A</v>
      </c>
      <c r="CZ14" s="111" t="str">
        <f ca="1">RESULTADOS!CD31</f>
        <v>N/A</v>
      </c>
      <c r="DA14" s="111" t="str">
        <f ca="1">RESULTADOS!CE31</f>
        <v>Pasa</v>
      </c>
      <c r="DB14" s="111" t="str">
        <f ca="1">RESULTADOS!CF31</f>
        <v>N/A</v>
      </c>
      <c r="DC14" s="111" t="str">
        <f ca="1">RESULTADOS!CG31</f>
        <v>Falla</v>
      </c>
      <c r="DD14" s="111" t="str">
        <f ca="1">RESULTADOS!CH31</f>
        <v>Falla</v>
      </c>
      <c r="DE14" s="111" t="str">
        <f ca="1">RESULTADOS!CI31</f>
        <v>N/A</v>
      </c>
      <c r="DF14" s="111" t="str">
        <f ca="1">RESULTADOS!CJ31</f>
        <v>N/A</v>
      </c>
      <c r="DG14" s="111" t="str">
        <f ca="1">RESULTADOS!CK31</f>
        <v>N/A</v>
      </c>
      <c r="DH14" s="111" t="str">
        <f ca="1">RESULTADOS!CL31</f>
        <v>N/A</v>
      </c>
      <c r="DI14" s="111" t="str">
        <f ca="1">RESULTADOS!CM31</f>
        <v>N/A</v>
      </c>
      <c r="DJ14" s="111" t="str">
        <f ca="1">RESULTADOS!CN31</f>
        <v>N/A</v>
      </c>
      <c r="DK14" s="111" t="str">
        <f ca="1">RESULTADOS!CO31</f>
        <v>N/A</v>
      </c>
      <c r="DL14" s="111" t="str">
        <f ca="1">RESULTADOS!CP31</f>
        <v>N/A</v>
      </c>
      <c r="DM14" s="111" t="str">
        <f ca="1">RESULTADOS!CQ31</f>
        <v>N/A</v>
      </c>
      <c r="DN14" s="111" t="str">
        <f ca="1">RESULTADOS!CR31</f>
        <v>N/A</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ht="13">
      <c r="C15" s="109" t="s">
        <v>32</v>
      </c>
      <c r="D15" s="112" t="str">
        <f>'01.Definición de ámbito'!C39</f>
        <v>UNE-EN 301 549:2022 - excluyendo el contenido excluido por el RD 1112/2018</v>
      </c>
      <c r="E15" s="109" t="s">
        <v>72</v>
      </c>
      <c r="F15" s="112" t="str">
        <f>'02.Tecnologías'!I12</f>
        <v>Sí</v>
      </c>
      <c r="G15" s="161"/>
      <c r="H15" s="161"/>
      <c r="I15" s="161"/>
      <c r="J15" s="161"/>
      <c r="T15" s="113">
        <f>RESULTADOS!B32</f>
        <v>13</v>
      </c>
      <c r="U15" s="113" t="str">
        <f>RESULTADOS!C32</f>
        <v>Simulación método D'Hondt</v>
      </c>
      <c r="V15" s="113" t="str">
        <f t="shared" si="0"/>
        <v>Página web</v>
      </c>
      <c r="W15" s="113" t="str">
        <v>Pagina tipo</v>
      </c>
      <c r="X15" s="113" t="str">
        <f>RESULTADOS!D32</f>
        <v>https://elecciones.comunidad.madrid/es/informacion-util/simulacion-metodo-dhondt</v>
      </c>
      <c r="Y15" s="113" t="str">
        <v>Home &gt; Información útil  &gt; Simulación método D'Hondt</v>
      </c>
      <c r="Z15" s="188">
        <v>0</v>
      </c>
      <c r="AA15" s="111" t="str">
        <f ca="1">RESULTADOS!E32</f>
        <v>Falla</v>
      </c>
      <c r="AB15" s="111" t="str">
        <f ca="1">RESULTADOS!F32</f>
        <v>N/A</v>
      </c>
      <c r="AC15" s="111" t="str">
        <f ca="1">RESULTADOS!G32</f>
        <v>N/A</v>
      </c>
      <c r="AD15" s="111" t="str">
        <f ca="1">RESULTADOS!H32</f>
        <v>N/A</v>
      </c>
      <c r="AE15" s="111" t="str">
        <f ca="1">RESULTADOS!I32</f>
        <v>N/A</v>
      </c>
      <c r="AF15" s="111" t="str">
        <f ca="1">RESULTADOS!J32</f>
        <v>N/A</v>
      </c>
      <c r="AG15" s="111" t="str">
        <f ca="1">RESULTADOS!K32</f>
        <v>N/A</v>
      </c>
      <c r="AH15" s="111" t="str">
        <f ca="1">RESULTADOS!L32</f>
        <v>N/A</v>
      </c>
      <c r="AI15" s="111" t="str">
        <f ca="1">RESULTADOS!M32</f>
        <v>N/A</v>
      </c>
      <c r="AJ15" s="111" t="str">
        <f ca="1">RESULTADOS!N32</f>
        <v>N/A</v>
      </c>
      <c r="AK15" s="111" t="str">
        <f ca="1">RESULTADOS!O32</f>
        <v>N/A</v>
      </c>
      <c r="AL15" s="111" t="str">
        <f ca="1">RESULTADOS!P32</f>
        <v>N/A</v>
      </c>
      <c r="AM15" s="111" t="str">
        <f ca="1">RESULTADOS!Q32</f>
        <v>N/A</v>
      </c>
      <c r="AN15" s="111" t="str">
        <f ca="1">RESULTADOS!R32</f>
        <v>N/A</v>
      </c>
      <c r="AO15" s="111" t="str">
        <f ca="1">RESULTADOS!S32</f>
        <v>N/A</v>
      </c>
      <c r="AP15" s="111" t="str">
        <f ca="1">RESULTADOS!T32</f>
        <v>N/A</v>
      </c>
      <c r="AQ15" s="111" t="str">
        <f ca="1">RESULTADOS!U32</f>
        <v>N/A</v>
      </c>
      <c r="AR15" s="111" t="str">
        <f ca="1">RESULTADOS!V32</f>
        <v>N/A</v>
      </c>
      <c r="AS15" s="111" t="str">
        <f ca="1">RESULTADOS!W32</f>
        <v>N/A</v>
      </c>
      <c r="AT15" s="111" t="str">
        <f ca="1">RESULTADOS!X32</f>
        <v>N/A</v>
      </c>
      <c r="AU15" s="111" t="str">
        <f ca="1">RESULTADOS!Y32</f>
        <v>N/A</v>
      </c>
      <c r="AV15" s="111" t="str">
        <f ca="1">RESULTADOS!Z32</f>
        <v>N/A</v>
      </c>
      <c r="AW15" s="111" t="str">
        <f ca="1">RESULTADOS!AA32</f>
        <v>N/A</v>
      </c>
      <c r="AX15" s="111" t="str">
        <f ca="1">RESULTADOS!AB32</f>
        <v>N/A</v>
      </c>
      <c r="AY15" s="111" t="str">
        <f ca="1">RESULTADOS!AC32</f>
        <v>N/A</v>
      </c>
      <c r="AZ15" s="111" t="str">
        <f ca="1">RESULTADOS!AD32</f>
        <v>N/A</v>
      </c>
      <c r="BA15" s="111" t="str">
        <f ca="1">RESULTADOS!AE32</f>
        <v>N/A</v>
      </c>
      <c r="BB15" s="111" t="str">
        <f ca="1">RESULTADOS!AF32</f>
        <v>N/A</v>
      </c>
      <c r="BC15" s="111" t="str">
        <f ca="1">RESULTADOS!AG32</f>
        <v>N/A</v>
      </c>
      <c r="BD15" s="111" t="str">
        <f ca="1">RESULTADOS!AH32</f>
        <v>N/A</v>
      </c>
      <c r="BE15" s="111" t="str">
        <f ca="1">RESULTADOS!AI32</f>
        <v>N/A</v>
      </c>
      <c r="BF15" s="111" t="str">
        <f ca="1">RESULTADOS!AJ32</f>
        <v>Pasa</v>
      </c>
      <c r="BG15" s="111" t="str">
        <f ca="1">RESULTADOS!AK32</f>
        <v>N/A</v>
      </c>
      <c r="BH15" s="111" t="str">
        <f ca="1">RESULTADOS!AL32</f>
        <v>N/A</v>
      </c>
      <c r="BI15" s="111" t="str">
        <f ca="1">RESULTADOS!AM32</f>
        <v>N/A</v>
      </c>
      <c r="BJ15" s="111" t="str">
        <f ca="1">RESULTADOS!AN32</f>
        <v>N/A</v>
      </c>
      <c r="BK15" s="111" t="str">
        <f ca="1">RESULTADOS!AO32</f>
        <v>Falla</v>
      </c>
      <c r="BL15" s="111" t="str">
        <f ca="1">RESULTADOS!AP32</f>
        <v>Falla</v>
      </c>
      <c r="BM15" s="111" t="str">
        <f ca="1">RESULTADOS!AQ32</f>
        <v>Falla</v>
      </c>
      <c r="BN15" s="111" t="str">
        <f ca="1">RESULTADOS!AR32</f>
        <v>Falla</v>
      </c>
      <c r="BO15" s="111" t="str">
        <f ca="1">RESULTADOS!AS32</f>
        <v>N/A</v>
      </c>
      <c r="BP15" s="111" t="str">
        <f ca="1">RESULTADOS!AT32</f>
        <v>Pasa</v>
      </c>
      <c r="BQ15" s="111" t="str">
        <f ca="1">RESULTADOS!AU32</f>
        <v>N/A</v>
      </c>
      <c r="BR15" s="111" t="str">
        <f ca="1">RESULTADOS!AV32</f>
        <v>Pasa</v>
      </c>
      <c r="BS15" s="111" t="str">
        <f ca="1">RESULTADOS!AW32</f>
        <v>Falla</v>
      </c>
      <c r="BT15" s="111" t="str">
        <f ca="1">RESULTADOS!AX32</f>
        <v>N/A</v>
      </c>
      <c r="BU15" s="111" t="str">
        <f ca="1">RESULTADOS!AY32</f>
        <v>Falla</v>
      </c>
      <c r="BV15" s="111" t="str">
        <f ca="1">RESULTADOS!AZ32</f>
        <v>Falla</v>
      </c>
      <c r="BW15" s="111" t="str">
        <f ca="1">RESULTADOS!BA32</f>
        <v>Pasa</v>
      </c>
      <c r="BX15" s="111" t="str">
        <f ca="1">RESULTADOS!BB32</f>
        <v>Falla</v>
      </c>
      <c r="BY15" s="111" t="str">
        <f ca="1">RESULTADOS!BC32</f>
        <v>Falla</v>
      </c>
      <c r="BZ15" s="111" t="str">
        <f ca="1">RESULTADOS!BD32</f>
        <v>Pasa</v>
      </c>
      <c r="CA15" s="111" t="str">
        <f ca="1">RESULTADOS!BE32</f>
        <v>N/A</v>
      </c>
      <c r="CB15" s="111" t="str">
        <f ca="1">RESULTADOS!BF32</f>
        <v>Pasa</v>
      </c>
      <c r="CC15" s="111" t="str">
        <f ca="1">RESULTADOS!BG32</f>
        <v>N/A</v>
      </c>
      <c r="CD15" s="111" t="str">
        <f ca="1">RESULTADOS!BH32</f>
        <v>N/A</v>
      </c>
      <c r="CE15" s="111" t="str">
        <f ca="1">RESULTADOS!BI32</f>
        <v>Pasa</v>
      </c>
      <c r="CF15" s="111" t="str">
        <f ca="1">RESULTADOS!BJ32</f>
        <v>Pasa</v>
      </c>
      <c r="CG15" s="111" t="str">
        <f ca="1">RESULTADOS!BK32</f>
        <v>Falla</v>
      </c>
      <c r="CH15" s="111" t="str">
        <f ca="1">RESULTADOS!BL32</f>
        <v>Falla</v>
      </c>
      <c r="CI15" s="111" t="str">
        <f ca="1">RESULTADOS!BM32</f>
        <v>Pasa</v>
      </c>
      <c r="CJ15" s="111" t="str">
        <f ca="1">RESULTADOS!BN32</f>
        <v>Pasa</v>
      </c>
      <c r="CK15" s="111" t="str">
        <f ca="1">RESULTADOS!BO32</f>
        <v>Falla</v>
      </c>
      <c r="CL15" s="111" t="str">
        <f ca="1">RESULTADOS!BP32</f>
        <v>N/A</v>
      </c>
      <c r="CM15" s="111" t="str">
        <f ca="1">RESULTADOS!BQ32</f>
        <v>Pasa</v>
      </c>
      <c r="CN15" s="111" t="str">
        <f ca="1">RESULTADOS!BR32</f>
        <v>Falla</v>
      </c>
      <c r="CO15" s="111" t="str">
        <f ca="1">RESULTADOS!BS32</f>
        <v>N/A</v>
      </c>
      <c r="CP15" s="111" t="str">
        <f ca="1">RESULTADOS!BT32</f>
        <v>Pasa</v>
      </c>
      <c r="CQ15" s="111" t="str">
        <f ca="1">RESULTADOS!BU32</f>
        <v>N/A</v>
      </c>
      <c r="CR15" s="111" t="str">
        <f ca="1">RESULTADOS!BV32</f>
        <v>Pasa</v>
      </c>
      <c r="CS15" s="111" t="str">
        <f ca="1">RESULTADOS!BW32</f>
        <v>Pasa</v>
      </c>
      <c r="CT15" s="111" t="str">
        <f ca="1">RESULTADOS!BX32</f>
        <v>Pasa</v>
      </c>
      <c r="CU15" s="111" t="str">
        <f ca="1">RESULTADOS!BY32</f>
        <v>Pasa</v>
      </c>
      <c r="CV15" s="111" t="str">
        <f ca="1">RESULTADOS!BZ32</f>
        <v>N/A</v>
      </c>
      <c r="CW15" s="111" t="str">
        <f ca="1">RESULTADOS!CA32</f>
        <v>Pasa</v>
      </c>
      <c r="CX15" s="111" t="str">
        <f ca="1">RESULTADOS!CB32</f>
        <v>N/A</v>
      </c>
      <c r="CY15" s="111" t="str">
        <f ca="1">RESULTADOS!CC32</f>
        <v>N/A</v>
      </c>
      <c r="CZ15" s="111" t="str">
        <f ca="1">RESULTADOS!CD32</f>
        <v>N/A</v>
      </c>
      <c r="DA15" s="111" t="str">
        <f ca="1">RESULTADOS!CE32</f>
        <v>Pasa</v>
      </c>
      <c r="DB15" s="111" t="str">
        <f ca="1">RESULTADOS!CF32</f>
        <v>N/A</v>
      </c>
      <c r="DC15" s="111" t="str">
        <f ca="1">RESULTADOS!CG32</f>
        <v>Falla</v>
      </c>
      <c r="DD15" s="111" t="str">
        <f ca="1">RESULTADOS!CH32</f>
        <v>Falla</v>
      </c>
      <c r="DE15" s="111" t="str">
        <f ca="1">RESULTADOS!CI32</f>
        <v>N/A</v>
      </c>
      <c r="DF15" s="111" t="str">
        <f ca="1">RESULTADOS!CJ32</f>
        <v>N/A</v>
      </c>
      <c r="DG15" s="111" t="str">
        <f ca="1">RESULTADOS!CK32</f>
        <v>N/A</v>
      </c>
      <c r="DH15" s="111" t="str">
        <f ca="1">RESULTADOS!CL32</f>
        <v>N/A</v>
      </c>
      <c r="DI15" s="111" t="str">
        <f ca="1">RESULTADOS!CM32</f>
        <v>N/A</v>
      </c>
      <c r="DJ15" s="111" t="str">
        <f ca="1">RESULTADOS!CN32</f>
        <v>N/A</v>
      </c>
      <c r="DK15" s="111" t="str">
        <f ca="1">RESULTADOS!CO32</f>
        <v>N/A</v>
      </c>
      <c r="DL15" s="111" t="str">
        <f ca="1">RESULTADOS!CP32</f>
        <v>N/A</v>
      </c>
      <c r="DM15" s="111" t="str">
        <f ca="1">RESULTADOS!CQ32</f>
        <v>N/A</v>
      </c>
      <c r="DN15" s="111" t="str">
        <f ca="1">RESULTADOS!CR32</f>
        <v>N/A</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ht="13">
      <c r="C16" s="109" t="s">
        <v>34</v>
      </c>
      <c r="D16" s="112" t="str">
        <f>'01.Definición de ámbito'!C41</f>
        <v>Sistema Operativo: Windows 11 Enterprise
Navegador: Google Chrome Versión 135.0.7049.42 (Build oficial) (64 bits)
Herramientas utilizadas: Tawdis, LightHouse, Color Contrast Analyzer, HeadingsMap, Screen reader, Siteimprove, taba11y,  UserCSS y  Axe DevTools</v>
      </c>
      <c r="F16" s="161"/>
      <c r="G16" s="161"/>
      <c r="H16" s="161"/>
      <c r="I16" s="161"/>
      <c r="J16" s="161"/>
      <c r="T16" s="113">
        <f>RESULTADOS!B33</f>
        <v>14</v>
      </c>
      <c r="U16" s="113" t="str">
        <f>RESULTADOS!C33</f>
        <v>Ley D'Hondt</v>
      </c>
      <c r="V16" s="113" t="str">
        <f t="shared" si="0"/>
        <v>Página web</v>
      </c>
      <c r="W16" s="113" t="str">
        <v>Servicio / Proceso</v>
      </c>
      <c r="X16" s="113" t="str">
        <f>RESULTADOS!D33</f>
        <v>https://elecciones.comunidad.madrid/es/resultados/ley_d_hondt</v>
      </c>
      <c r="Y16" s="113" t="str">
        <v>Home &gt; Información útil  &gt; Simulación método D'Hondt &gt; Simulador  D'Hondt</v>
      </c>
      <c r="Z16" s="188">
        <v>0</v>
      </c>
      <c r="AA16" s="111" t="str">
        <f ca="1">RESULTADOS!E33</f>
        <v>N/A</v>
      </c>
      <c r="AB16" s="111" t="str">
        <f ca="1">RESULTADOS!F33</f>
        <v>N/A</v>
      </c>
      <c r="AC16" s="111" t="str">
        <f ca="1">RESULTADOS!G33</f>
        <v>N/A</v>
      </c>
      <c r="AD16" s="111" t="str">
        <f ca="1">RESULTADOS!H33</f>
        <v>N/A</v>
      </c>
      <c r="AE16" s="111" t="str">
        <f ca="1">RESULTADOS!I33</f>
        <v>N/A</v>
      </c>
      <c r="AF16" s="111" t="str">
        <f ca="1">RESULTADOS!J33</f>
        <v>N/A</v>
      </c>
      <c r="AG16" s="111" t="str">
        <f ca="1">RESULTADOS!K33</f>
        <v>N/A</v>
      </c>
      <c r="AH16" s="111" t="str">
        <f ca="1">RESULTADOS!L33</f>
        <v>N/A</v>
      </c>
      <c r="AI16" s="111" t="str">
        <f ca="1">RESULTADOS!M33</f>
        <v>N/A</v>
      </c>
      <c r="AJ16" s="111" t="str">
        <f ca="1">RESULTADOS!N33</f>
        <v>N/A</v>
      </c>
      <c r="AK16" s="111" t="str">
        <f ca="1">RESULTADOS!O33</f>
        <v>N/A</v>
      </c>
      <c r="AL16" s="111" t="str">
        <f ca="1">RESULTADOS!P33</f>
        <v>N/A</v>
      </c>
      <c r="AM16" s="111" t="str">
        <f ca="1">RESULTADOS!Q33</f>
        <v>N/A</v>
      </c>
      <c r="AN16" s="111" t="str">
        <f ca="1">RESULTADOS!R33</f>
        <v>N/A</v>
      </c>
      <c r="AO16" s="111" t="str">
        <f ca="1">RESULTADOS!S33</f>
        <v>N/A</v>
      </c>
      <c r="AP16" s="111" t="str">
        <f ca="1">RESULTADOS!T33</f>
        <v>N/A</v>
      </c>
      <c r="AQ16" s="111" t="str">
        <f ca="1">RESULTADOS!U33</f>
        <v>N/A</v>
      </c>
      <c r="AR16" s="111" t="str">
        <f ca="1">RESULTADOS!V33</f>
        <v>N/A</v>
      </c>
      <c r="AS16" s="111" t="str">
        <f ca="1">RESULTADOS!W33</f>
        <v>N/A</v>
      </c>
      <c r="AT16" s="111" t="str">
        <f ca="1">RESULTADOS!X33</f>
        <v>N/A</v>
      </c>
      <c r="AU16" s="111" t="str">
        <f ca="1">RESULTADOS!Y33</f>
        <v>N/A</v>
      </c>
      <c r="AV16" s="111" t="str">
        <f ca="1">RESULTADOS!Z33</f>
        <v>N/A</v>
      </c>
      <c r="AW16" s="111" t="str">
        <f ca="1">RESULTADOS!AA33</f>
        <v>N/A</v>
      </c>
      <c r="AX16" s="111" t="str">
        <f ca="1">RESULTADOS!AB33</f>
        <v>N/A</v>
      </c>
      <c r="AY16" s="111" t="str">
        <f ca="1">RESULTADOS!AC33</f>
        <v>N/A</v>
      </c>
      <c r="AZ16" s="111" t="str">
        <f ca="1">RESULTADOS!AD33</f>
        <v>N/A</v>
      </c>
      <c r="BA16" s="111" t="str">
        <f ca="1">RESULTADOS!AE33</f>
        <v>N/A</v>
      </c>
      <c r="BB16" s="111" t="str">
        <f ca="1">RESULTADOS!AF33</f>
        <v>N/A</v>
      </c>
      <c r="BC16" s="111" t="str">
        <f ca="1">RESULTADOS!AG33</f>
        <v>N/A</v>
      </c>
      <c r="BD16" s="111" t="str">
        <f ca="1">RESULTADOS!AH33</f>
        <v>N/A</v>
      </c>
      <c r="BE16" s="111" t="str">
        <f ca="1">RESULTADOS!AI33</f>
        <v>N/A</v>
      </c>
      <c r="BF16" s="111" t="str">
        <f ca="1">RESULTADOS!AJ33</f>
        <v>Pasa</v>
      </c>
      <c r="BG16" s="111" t="str">
        <f ca="1">RESULTADOS!AK33</f>
        <v>N/A</v>
      </c>
      <c r="BH16" s="111" t="str">
        <f ca="1">RESULTADOS!AL33</f>
        <v>N/A</v>
      </c>
      <c r="BI16" s="111" t="str">
        <f ca="1">RESULTADOS!AM33</f>
        <v>N/A</v>
      </c>
      <c r="BJ16" s="111" t="str">
        <f ca="1">RESULTADOS!AN33</f>
        <v>N/A</v>
      </c>
      <c r="BK16" s="111" t="str">
        <f ca="1">RESULTADOS!AO33</f>
        <v>Falla</v>
      </c>
      <c r="BL16" s="111" t="str">
        <f ca="1">RESULTADOS!AP33</f>
        <v>Falla</v>
      </c>
      <c r="BM16" s="111" t="str">
        <f ca="1">RESULTADOS!AQ33</f>
        <v>Falla</v>
      </c>
      <c r="BN16" s="111" t="str">
        <f ca="1">RESULTADOS!AR33</f>
        <v>Falla</v>
      </c>
      <c r="BO16" s="111" t="str">
        <f ca="1">RESULTADOS!AS33</f>
        <v>N/A</v>
      </c>
      <c r="BP16" s="111" t="str">
        <f ca="1">RESULTADOS!AT33</f>
        <v>Pasa</v>
      </c>
      <c r="BQ16" s="111" t="str">
        <f ca="1">RESULTADOS!AU33</f>
        <v>N/A</v>
      </c>
      <c r="BR16" s="111" t="str">
        <f ca="1">RESULTADOS!AV33</f>
        <v>Pasa</v>
      </c>
      <c r="BS16" s="111" t="str">
        <f ca="1">RESULTADOS!AW33</f>
        <v>Falla</v>
      </c>
      <c r="BT16" s="111" t="str">
        <f ca="1">RESULTADOS!AX33</f>
        <v>N/A</v>
      </c>
      <c r="BU16" s="111" t="str">
        <f ca="1">RESULTADOS!AY33</f>
        <v>Falla</v>
      </c>
      <c r="BV16" s="111" t="str">
        <f ca="1">RESULTADOS!AZ33</f>
        <v>Falla</v>
      </c>
      <c r="BW16" s="111" t="str">
        <f ca="1">RESULTADOS!BA33</f>
        <v>Pasa</v>
      </c>
      <c r="BX16" s="111" t="str">
        <f ca="1">RESULTADOS!BB33</f>
        <v>Falla</v>
      </c>
      <c r="BY16" s="111" t="str">
        <f ca="1">RESULTADOS!BC33</f>
        <v>Falla</v>
      </c>
      <c r="BZ16" s="111" t="str">
        <f ca="1">RESULTADOS!BD33</f>
        <v>Pasa</v>
      </c>
      <c r="CA16" s="111" t="str">
        <f ca="1">RESULTADOS!BE33</f>
        <v>N/A</v>
      </c>
      <c r="CB16" s="111" t="str">
        <f ca="1">RESULTADOS!BF33</f>
        <v>Pasa</v>
      </c>
      <c r="CC16" s="111" t="str">
        <f ca="1">RESULTADOS!BG33</f>
        <v>N/A</v>
      </c>
      <c r="CD16" s="111" t="str">
        <f ca="1">RESULTADOS!BH33</f>
        <v>N/A</v>
      </c>
      <c r="CE16" s="111" t="str">
        <f ca="1">RESULTADOS!BI33</f>
        <v>Pasa</v>
      </c>
      <c r="CF16" s="111" t="str">
        <f ca="1">RESULTADOS!BJ33</f>
        <v>Falla</v>
      </c>
      <c r="CG16" s="111" t="str">
        <f ca="1">RESULTADOS!BK33</f>
        <v>Falla</v>
      </c>
      <c r="CH16" s="111" t="str">
        <f ca="1">RESULTADOS!BL33</f>
        <v>Falla</v>
      </c>
      <c r="CI16" s="111" t="str">
        <f ca="1">RESULTADOS!BM33</f>
        <v>Falla</v>
      </c>
      <c r="CJ16" s="111" t="str">
        <f ca="1">RESULTADOS!BN33</f>
        <v>Falla</v>
      </c>
      <c r="CK16" s="111" t="str">
        <f ca="1">RESULTADOS!BO33</f>
        <v>Falla</v>
      </c>
      <c r="CL16" s="111" t="str">
        <f ca="1">RESULTADOS!BP33</f>
        <v>N/A</v>
      </c>
      <c r="CM16" s="111" t="str">
        <f ca="1">RESULTADOS!BQ33</f>
        <v>Pasa</v>
      </c>
      <c r="CN16" s="111" t="str">
        <f ca="1">RESULTADOS!BR33</f>
        <v>Falla</v>
      </c>
      <c r="CO16" s="111" t="str">
        <f ca="1">RESULTADOS!BS33</f>
        <v>N/A</v>
      </c>
      <c r="CP16" s="111" t="str">
        <f ca="1">RESULTADOS!BT33</f>
        <v>Pasa</v>
      </c>
      <c r="CQ16" s="111" t="str">
        <f ca="1">RESULTADOS!BU33</f>
        <v>N/A</v>
      </c>
      <c r="CR16" s="111" t="str">
        <f ca="1">RESULTADOS!BV33</f>
        <v>Pasa</v>
      </c>
      <c r="CS16" s="111" t="str">
        <f ca="1">RESULTADOS!BW33</f>
        <v>Pasa</v>
      </c>
      <c r="CT16" s="111" t="str">
        <f ca="1">RESULTADOS!BX33</f>
        <v>Falla</v>
      </c>
      <c r="CU16" s="111" t="str">
        <f ca="1">RESULTADOS!BY33</f>
        <v>Pasa</v>
      </c>
      <c r="CV16" s="111" t="str">
        <f ca="1">RESULTADOS!BZ33</f>
        <v>N/A</v>
      </c>
      <c r="CW16" s="111" t="str">
        <f ca="1">RESULTADOS!CA33</f>
        <v>Falla</v>
      </c>
      <c r="CX16" s="111" t="str">
        <f ca="1">RESULTADOS!CB33</f>
        <v>N/A</v>
      </c>
      <c r="CY16" s="111" t="str">
        <f ca="1">RESULTADOS!CC33</f>
        <v>N/A</v>
      </c>
      <c r="CZ16" s="111" t="str">
        <f ca="1">RESULTADOS!CD33</f>
        <v>N/A</v>
      </c>
      <c r="DA16" s="111" t="str">
        <f ca="1">RESULTADOS!CE33</f>
        <v>Pasa</v>
      </c>
      <c r="DB16" s="111" t="str">
        <f ca="1">RESULTADOS!CF33</f>
        <v>N/A</v>
      </c>
      <c r="DC16" s="111" t="str">
        <f ca="1">RESULTADOS!CG33</f>
        <v>Falla</v>
      </c>
      <c r="DD16" s="111" t="str">
        <f ca="1">RESULTADOS!CH33</f>
        <v>Falla</v>
      </c>
      <c r="DE16" s="111" t="str">
        <f ca="1">RESULTADOS!CI33</f>
        <v>N/A</v>
      </c>
      <c r="DF16" s="111" t="str">
        <f ca="1">RESULTADOS!CJ33</f>
        <v>N/A</v>
      </c>
      <c r="DG16" s="111" t="str">
        <f ca="1">RESULTADOS!CK33</f>
        <v>N/A</v>
      </c>
      <c r="DH16" s="111" t="str">
        <f ca="1">RESULTADOS!CL33</f>
        <v>N/A</v>
      </c>
      <c r="DI16" s="111" t="str">
        <f ca="1">RESULTADOS!CM33</f>
        <v>N/A</v>
      </c>
      <c r="DJ16" s="111" t="str">
        <f ca="1">RESULTADOS!CN33</f>
        <v>N/A</v>
      </c>
      <c r="DK16" s="111" t="str">
        <f ca="1">RESULTADOS!CO33</f>
        <v>N/A</v>
      </c>
      <c r="DL16" s="111" t="str">
        <f ca="1">RESULTADOS!CP33</f>
        <v>N/A</v>
      </c>
      <c r="DM16" s="111" t="str">
        <f ca="1">RESULTADOS!CQ33</f>
        <v>N/A</v>
      </c>
      <c r="DN16" s="111" t="str">
        <f ca="1">RESULTADOS!CR33</f>
        <v>N/A</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ht="13">
      <c r="C17" s="109" t="s">
        <v>36</v>
      </c>
      <c r="D17" s="112" t="str">
        <f>'01.Definición de ámbito'!C45</f>
        <v>CCAA</v>
      </c>
      <c r="K17" t="s">
        <v>547</v>
      </c>
      <c r="T17" s="113">
        <f>RESULTADOS!B34</f>
        <v>15</v>
      </c>
      <c r="U17" s="113" t="str">
        <f>RESULTADOS!C34</f>
        <v>Voto por correo elector CERA en España</v>
      </c>
      <c r="V17" s="113" t="str">
        <f t="shared" si="0"/>
        <v>Página web</v>
      </c>
      <c r="W17" s="113" t="str">
        <v>Pagina tipo</v>
      </c>
      <c r="X17" s="113" t="str">
        <f>RESULTADOS!D34</f>
        <v>https://elecciones.comunidad.madrid/es/preguntas-frecuentes/voto-correo-electores-residentes-extranjero</v>
      </c>
      <c r="Y17" s="113" t="str">
        <v>Home &gt; Información útil  &gt; Preguntas más frecuentes &gt; Voto por correo elector CERA en España</v>
      </c>
      <c r="Z17" s="188">
        <v>0</v>
      </c>
      <c r="AA17" s="111" t="str">
        <f ca="1">RESULTADOS!E34</f>
        <v>Falla</v>
      </c>
      <c r="AB17" s="111" t="str">
        <f ca="1">RESULTADOS!F34</f>
        <v>N/A</v>
      </c>
      <c r="AC17" s="111" t="str">
        <f ca="1">RESULTADOS!G34</f>
        <v>N/A</v>
      </c>
      <c r="AD17" s="111" t="str">
        <f ca="1">RESULTADOS!H34</f>
        <v>N/A</v>
      </c>
      <c r="AE17" s="111" t="str">
        <f ca="1">RESULTADOS!I34</f>
        <v>N/A</v>
      </c>
      <c r="AF17" s="111" t="str">
        <f ca="1">RESULTADOS!J34</f>
        <v>N/A</v>
      </c>
      <c r="AG17" s="111" t="str">
        <f ca="1">RESULTADOS!K34</f>
        <v>N/A</v>
      </c>
      <c r="AH17" s="111" t="str">
        <f ca="1">RESULTADOS!L34</f>
        <v>N/A</v>
      </c>
      <c r="AI17" s="111" t="str">
        <f ca="1">RESULTADOS!M34</f>
        <v>N/A</v>
      </c>
      <c r="AJ17" s="111" t="str">
        <f ca="1">RESULTADOS!N34</f>
        <v>N/A</v>
      </c>
      <c r="AK17" s="111" t="str">
        <f ca="1">RESULTADOS!O34</f>
        <v>N/A</v>
      </c>
      <c r="AL17" s="111" t="str">
        <f ca="1">RESULTADOS!P34</f>
        <v>N/A</v>
      </c>
      <c r="AM17" s="111" t="str">
        <f ca="1">RESULTADOS!Q34</f>
        <v>N/A</v>
      </c>
      <c r="AN17" s="111" t="str">
        <f ca="1">RESULTADOS!R34</f>
        <v>N/A</v>
      </c>
      <c r="AO17" s="111" t="str">
        <f ca="1">RESULTADOS!S34</f>
        <v>N/A</v>
      </c>
      <c r="AP17" s="111" t="str">
        <f ca="1">RESULTADOS!T34</f>
        <v>N/A</v>
      </c>
      <c r="AQ17" s="111" t="str">
        <f ca="1">RESULTADOS!U34</f>
        <v>N/A</v>
      </c>
      <c r="AR17" s="111" t="str">
        <f ca="1">RESULTADOS!V34</f>
        <v>N/A</v>
      </c>
      <c r="AS17" s="111" t="str">
        <f ca="1">RESULTADOS!W34</f>
        <v>N/A</v>
      </c>
      <c r="AT17" s="111" t="str">
        <f ca="1">RESULTADOS!X34</f>
        <v>N/A</v>
      </c>
      <c r="AU17" s="111" t="str">
        <f ca="1">RESULTADOS!Y34</f>
        <v>N/A</v>
      </c>
      <c r="AV17" s="111" t="str">
        <f ca="1">RESULTADOS!Z34</f>
        <v>N/A</v>
      </c>
      <c r="AW17" s="111" t="str">
        <f ca="1">RESULTADOS!AA34</f>
        <v>N/A</v>
      </c>
      <c r="AX17" s="111" t="str">
        <f ca="1">RESULTADOS!AB34</f>
        <v>N/A</v>
      </c>
      <c r="AY17" s="111" t="str">
        <f ca="1">RESULTADOS!AC34</f>
        <v>N/A</v>
      </c>
      <c r="AZ17" s="111" t="str">
        <f ca="1">RESULTADOS!AD34</f>
        <v>N/A</v>
      </c>
      <c r="BA17" s="111" t="str">
        <f ca="1">RESULTADOS!AE34</f>
        <v>N/A</v>
      </c>
      <c r="BB17" s="111" t="str">
        <f ca="1">RESULTADOS!AF34</f>
        <v>N/A</v>
      </c>
      <c r="BC17" s="111" t="str">
        <f ca="1">RESULTADOS!AG34</f>
        <v>N/A</v>
      </c>
      <c r="BD17" s="111" t="str">
        <f ca="1">RESULTADOS!AH34</f>
        <v>N/A</v>
      </c>
      <c r="BE17" s="111" t="str">
        <f ca="1">RESULTADOS!AI34</f>
        <v>N/A</v>
      </c>
      <c r="BF17" s="111" t="str">
        <f ca="1">RESULTADOS!AJ34</f>
        <v>Pasa</v>
      </c>
      <c r="BG17" s="111" t="str">
        <f ca="1">RESULTADOS!AK34</f>
        <v>N/A</v>
      </c>
      <c r="BH17" s="111" t="str">
        <f ca="1">RESULTADOS!AL34</f>
        <v>N/A</v>
      </c>
      <c r="BI17" s="111" t="str">
        <f ca="1">RESULTADOS!AM34</f>
        <v>N/A</v>
      </c>
      <c r="BJ17" s="111" t="str">
        <f ca="1">RESULTADOS!AN34</f>
        <v>N/A</v>
      </c>
      <c r="BK17" s="111" t="str">
        <f ca="1">RESULTADOS!AO34</f>
        <v>Falla</v>
      </c>
      <c r="BL17" s="111" t="str">
        <f ca="1">RESULTADOS!AP34</f>
        <v>Falla</v>
      </c>
      <c r="BM17" s="111" t="str">
        <f ca="1">RESULTADOS!AQ34</f>
        <v>Falla</v>
      </c>
      <c r="BN17" s="111" t="str">
        <f ca="1">RESULTADOS!AR34</f>
        <v>Falla</v>
      </c>
      <c r="BO17" s="111" t="str">
        <f ca="1">RESULTADOS!AS34</f>
        <v>N/A</v>
      </c>
      <c r="BP17" s="111" t="str">
        <f ca="1">RESULTADOS!AT34</f>
        <v>Pasa</v>
      </c>
      <c r="BQ17" s="111" t="str">
        <f ca="1">RESULTADOS!AU34</f>
        <v>N/A</v>
      </c>
      <c r="BR17" s="111" t="str">
        <f ca="1">RESULTADOS!AV34</f>
        <v>Pasa</v>
      </c>
      <c r="BS17" s="111" t="str">
        <f ca="1">RESULTADOS!AW34</f>
        <v>Falla</v>
      </c>
      <c r="BT17" s="111" t="str">
        <f ca="1">RESULTADOS!AX34</f>
        <v>N/A</v>
      </c>
      <c r="BU17" s="111" t="str">
        <f ca="1">RESULTADOS!AY34</f>
        <v>Falla</v>
      </c>
      <c r="BV17" s="111" t="str">
        <f ca="1">RESULTADOS!AZ34</f>
        <v>Falla</v>
      </c>
      <c r="BW17" s="111" t="str">
        <f ca="1">RESULTADOS!BA34</f>
        <v>Pasa</v>
      </c>
      <c r="BX17" s="111" t="str">
        <f ca="1">RESULTADOS!BB34</f>
        <v>Falla</v>
      </c>
      <c r="BY17" s="111" t="str">
        <f ca="1">RESULTADOS!BC34</f>
        <v>Falla</v>
      </c>
      <c r="BZ17" s="111" t="str">
        <f ca="1">RESULTADOS!BD34</f>
        <v>Pasa</v>
      </c>
      <c r="CA17" s="111" t="str">
        <f ca="1">RESULTADOS!BE34</f>
        <v>N/A</v>
      </c>
      <c r="CB17" s="111" t="str">
        <f ca="1">RESULTADOS!BF34</f>
        <v>Pasa</v>
      </c>
      <c r="CC17" s="111" t="str">
        <f ca="1">RESULTADOS!BG34</f>
        <v>N/A</v>
      </c>
      <c r="CD17" s="111" t="str">
        <f ca="1">RESULTADOS!BH34</f>
        <v>N/A</v>
      </c>
      <c r="CE17" s="111" t="str">
        <f ca="1">RESULTADOS!BI34</f>
        <v>Pasa</v>
      </c>
      <c r="CF17" s="111" t="str">
        <f ca="1">RESULTADOS!BJ34</f>
        <v>Pasa</v>
      </c>
      <c r="CG17" s="111" t="str">
        <f ca="1">RESULTADOS!BK34</f>
        <v>Falla</v>
      </c>
      <c r="CH17" s="111" t="str">
        <f ca="1">RESULTADOS!BL34</f>
        <v>Falla</v>
      </c>
      <c r="CI17" s="111" t="str">
        <f ca="1">RESULTADOS!BM34</f>
        <v>Pasa</v>
      </c>
      <c r="CJ17" s="111" t="str">
        <f ca="1">RESULTADOS!BN34</f>
        <v>Pasa</v>
      </c>
      <c r="CK17" s="111" t="str">
        <f ca="1">RESULTADOS!BO34</f>
        <v>Falla</v>
      </c>
      <c r="CL17" s="111" t="str">
        <f ca="1">RESULTADOS!BP34</f>
        <v>N/A</v>
      </c>
      <c r="CM17" s="111" t="str">
        <f ca="1">RESULTADOS!BQ34</f>
        <v>Pasa</v>
      </c>
      <c r="CN17" s="111" t="str">
        <f ca="1">RESULTADOS!BR34</f>
        <v>Falla</v>
      </c>
      <c r="CO17" s="111" t="str">
        <f ca="1">RESULTADOS!BS34</f>
        <v>N/A</v>
      </c>
      <c r="CP17" s="111" t="str">
        <f ca="1">RESULTADOS!BT34</f>
        <v>Pasa</v>
      </c>
      <c r="CQ17" s="111" t="str">
        <f ca="1">RESULTADOS!BU34</f>
        <v>N/A</v>
      </c>
      <c r="CR17" s="111" t="str">
        <f ca="1">RESULTADOS!BV34</f>
        <v>Pasa</v>
      </c>
      <c r="CS17" s="111" t="str">
        <f ca="1">RESULTADOS!BW34</f>
        <v>Pasa</v>
      </c>
      <c r="CT17" s="111" t="str">
        <f ca="1">RESULTADOS!BX34</f>
        <v>Falla</v>
      </c>
      <c r="CU17" s="111" t="str">
        <f ca="1">RESULTADOS!BY34</f>
        <v>Pasa</v>
      </c>
      <c r="CV17" s="111" t="str">
        <f ca="1">RESULTADOS!BZ34</f>
        <v>N/A</v>
      </c>
      <c r="CW17" s="111" t="str">
        <f ca="1">RESULTADOS!CA34</f>
        <v>Pasa</v>
      </c>
      <c r="CX17" s="111" t="str">
        <f ca="1">RESULTADOS!CB34</f>
        <v>N/A</v>
      </c>
      <c r="CY17" s="111" t="str">
        <f ca="1">RESULTADOS!CC34</f>
        <v>N/A</v>
      </c>
      <c r="CZ17" s="111" t="str">
        <f ca="1">RESULTADOS!CD34</f>
        <v>N/A</v>
      </c>
      <c r="DA17" s="111" t="str">
        <f ca="1">RESULTADOS!CE34</f>
        <v>Pasa</v>
      </c>
      <c r="DB17" s="111" t="str">
        <f ca="1">RESULTADOS!CF34</f>
        <v>N/A</v>
      </c>
      <c r="DC17" s="111" t="str">
        <f ca="1">RESULTADOS!CG34</f>
        <v>Falla</v>
      </c>
      <c r="DD17" s="111" t="str">
        <f ca="1">RESULTADOS!CH34</f>
        <v>Falla</v>
      </c>
      <c r="DE17" s="111" t="str">
        <f ca="1">RESULTADOS!CI34</f>
        <v>N/A</v>
      </c>
      <c r="DF17" s="111" t="str">
        <f ca="1">RESULTADOS!CJ34</f>
        <v>N/A</v>
      </c>
      <c r="DG17" s="111" t="str">
        <f ca="1">RESULTADOS!CK34</f>
        <v>N/A</v>
      </c>
      <c r="DH17" s="111" t="str">
        <f ca="1">RESULTADOS!CL34</f>
        <v>N/A</v>
      </c>
      <c r="DI17" s="111" t="str">
        <f ca="1">RESULTADOS!CM34</f>
        <v>N/A</v>
      </c>
      <c r="DJ17" s="111" t="str">
        <f ca="1">RESULTADOS!CN34</f>
        <v>N/A</v>
      </c>
      <c r="DK17" s="111" t="str">
        <f ca="1">RESULTADOS!CO34</f>
        <v>N/A</v>
      </c>
      <c r="DL17" s="111" t="str">
        <f ca="1">RESULTADOS!CP34</f>
        <v>N/A</v>
      </c>
      <c r="DM17" s="111" t="str">
        <f ca="1">RESULTADOS!CQ34</f>
        <v>N/A</v>
      </c>
      <c r="DN17" s="111" t="str">
        <f ca="1">RESULTADOS!CR34</f>
        <v>N/A</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ht="13">
      <c r="C18" s="109" t="s">
        <v>42</v>
      </c>
      <c r="D18" s="112" t="str">
        <f>'01.Definición de ámbito'!D48</f>
        <v>No</v>
      </c>
      <c r="K18" t="s">
        <v>174</v>
      </c>
      <c r="L18" s="113">
        <f ca="1">RESULTADOS!L8</f>
        <v>356</v>
      </c>
      <c r="M18" s="171">
        <f ca="1">RESULTADOS!M8</f>
        <v>0.19347826086956521</v>
      </c>
      <c r="T18" s="113">
        <f>RESULTADOS!B35</f>
        <v>16</v>
      </c>
      <c r="U18" s="113" t="str">
        <f>RESULTADOS!C35</f>
        <v>Contacto</v>
      </c>
      <c r="V18" s="113" t="str">
        <f t="shared" si="0"/>
        <v>Página web</v>
      </c>
      <c r="W18" s="113" t="str">
        <v>Contacto</v>
      </c>
      <c r="X18" s="113" t="str">
        <f>RESULTADOS!D35</f>
        <v>https://elecciones.comunidad.madrid/es/buzon-de-sugerencias</v>
      </c>
      <c r="Y18" s="113" t="str">
        <v>Home &gt; Icono lupa  (Contacto) &gt; Contacto</v>
      </c>
      <c r="Z18" s="188">
        <v>0</v>
      </c>
      <c r="AA18" s="111" t="str">
        <f ca="1">RESULTADOS!E35</f>
        <v>N/A</v>
      </c>
      <c r="AB18" s="111" t="str">
        <f ca="1">RESULTADOS!F35</f>
        <v>N/A</v>
      </c>
      <c r="AC18" s="111" t="str">
        <f ca="1">RESULTADOS!G35</f>
        <v>N/A</v>
      </c>
      <c r="AD18" s="111" t="str">
        <f ca="1">RESULTADOS!H35</f>
        <v>N/A</v>
      </c>
      <c r="AE18" s="111" t="str">
        <f ca="1">RESULTADOS!I35</f>
        <v>N/A</v>
      </c>
      <c r="AF18" s="111" t="str">
        <f ca="1">RESULTADOS!J35</f>
        <v>N/A</v>
      </c>
      <c r="AG18" s="111" t="str">
        <f ca="1">RESULTADOS!K35</f>
        <v>N/A</v>
      </c>
      <c r="AH18" s="111" t="str">
        <f ca="1">RESULTADOS!L35</f>
        <v>N/A</v>
      </c>
      <c r="AI18" s="111" t="str">
        <f ca="1">RESULTADOS!M35</f>
        <v>N/A</v>
      </c>
      <c r="AJ18" s="111" t="str">
        <f ca="1">RESULTADOS!N35</f>
        <v>N/A</v>
      </c>
      <c r="AK18" s="111" t="str">
        <f ca="1">RESULTADOS!O35</f>
        <v>N/A</v>
      </c>
      <c r="AL18" s="111" t="str">
        <f ca="1">RESULTADOS!P35</f>
        <v>N/A</v>
      </c>
      <c r="AM18" s="111" t="str">
        <f ca="1">RESULTADOS!Q35</f>
        <v>N/A</v>
      </c>
      <c r="AN18" s="111" t="str">
        <f ca="1">RESULTADOS!R35</f>
        <v>N/A</v>
      </c>
      <c r="AO18" s="111" t="str">
        <f ca="1">RESULTADOS!S35</f>
        <v>N/A</v>
      </c>
      <c r="AP18" s="111" t="str">
        <f ca="1">RESULTADOS!T35</f>
        <v>N/A</v>
      </c>
      <c r="AQ18" s="111" t="str">
        <f ca="1">RESULTADOS!U35</f>
        <v>N/A</v>
      </c>
      <c r="AR18" s="111" t="str">
        <f ca="1">RESULTADOS!V35</f>
        <v>N/A</v>
      </c>
      <c r="AS18" s="111" t="str">
        <f ca="1">RESULTADOS!W35</f>
        <v>N/A</v>
      </c>
      <c r="AT18" s="111" t="str">
        <f ca="1">RESULTADOS!X35</f>
        <v>N/A</v>
      </c>
      <c r="AU18" s="111" t="str">
        <f ca="1">RESULTADOS!Y35</f>
        <v>N/A</v>
      </c>
      <c r="AV18" s="111" t="str">
        <f ca="1">RESULTADOS!Z35</f>
        <v>N/A</v>
      </c>
      <c r="AW18" s="111" t="str">
        <f ca="1">RESULTADOS!AA35</f>
        <v>N/A</v>
      </c>
      <c r="AX18" s="111" t="str">
        <f ca="1">RESULTADOS!AB35</f>
        <v>N/A</v>
      </c>
      <c r="AY18" s="111" t="str">
        <f ca="1">RESULTADOS!AC35</f>
        <v>N/A</v>
      </c>
      <c r="AZ18" s="111" t="str">
        <f ca="1">RESULTADOS!AD35</f>
        <v>N/A</v>
      </c>
      <c r="BA18" s="111" t="str">
        <f ca="1">RESULTADOS!AE35</f>
        <v>N/A</v>
      </c>
      <c r="BB18" s="111" t="str">
        <f ca="1">RESULTADOS!AF35</f>
        <v>N/A</v>
      </c>
      <c r="BC18" s="111" t="str">
        <f ca="1">RESULTADOS!AG35</f>
        <v>N/A</v>
      </c>
      <c r="BD18" s="111" t="str">
        <f ca="1">RESULTADOS!AH35</f>
        <v>N/A</v>
      </c>
      <c r="BE18" s="111" t="str">
        <f ca="1">RESULTADOS!AI35</f>
        <v>N/A</v>
      </c>
      <c r="BF18" s="111" t="str">
        <f ca="1">RESULTADOS!AJ35</f>
        <v>Pasa</v>
      </c>
      <c r="BG18" s="111" t="str">
        <f ca="1">RESULTADOS!AK35</f>
        <v>N/A</v>
      </c>
      <c r="BH18" s="111" t="str">
        <f ca="1">RESULTADOS!AL35</f>
        <v>N/A</v>
      </c>
      <c r="BI18" s="111" t="str">
        <f ca="1">RESULTADOS!AM35</f>
        <v>N/A</v>
      </c>
      <c r="BJ18" s="111" t="str">
        <f ca="1">RESULTADOS!AN35</f>
        <v>N/A</v>
      </c>
      <c r="BK18" s="111" t="str">
        <f ca="1">RESULTADOS!AO35</f>
        <v>Falla</v>
      </c>
      <c r="BL18" s="111" t="str">
        <f ca="1">RESULTADOS!AP35</f>
        <v>Falla</v>
      </c>
      <c r="BM18" s="111" t="str">
        <f ca="1">RESULTADOS!AQ35</f>
        <v>Falla</v>
      </c>
      <c r="BN18" s="111" t="str">
        <f ca="1">RESULTADOS!AR35</f>
        <v>Falla</v>
      </c>
      <c r="BO18" s="111" t="str">
        <f ca="1">RESULTADOS!AS35</f>
        <v>Falla</v>
      </c>
      <c r="BP18" s="111" t="str">
        <f ca="1">RESULTADOS!AT35</f>
        <v>Falla</v>
      </c>
      <c r="BQ18" s="111" t="str">
        <f ca="1">RESULTADOS!AU35</f>
        <v>N/A</v>
      </c>
      <c r="BR18" s="111" t="str">
        <f ca="1">RESULTADOS!AV35</f>
        <v>Pasa</v>
      </c>
      <c r="BS18" s="111" t="str">
        <f ca="1">RESULTADOS!AW35</f>
        <v>Falla</v>
      </c>
      <c r="BT18" s="111" t="str">
        <f ca="1">RESULTADOS!AX35</f>
        <v>N/A</v>
      </c>
      <c r="BU18" s="111" t="str">
        <f ca="1">RESULTADOS!AY35</f>
        <v>Falla</v>
      </c>
      <c r="BV18" s="111" t="str">
        <f ca="1">RESULTADOS!AZ35</f>
        <v>Falla</v>
      </c>
      <c r="BW18" s="111" t="str">
        <f ca="1">RESULTADOS!BA35</f>
        <v>Pasa</v>
      </c>
      <c r="BX18" s="111" t="str">
        <f ca="1">RESULTADOS!BB35</f>
        <v>Falla</v>
      </c>
      <c r="BY18" s="111" t="str">
        <f ca="1">RESULTADOS!BC35</f>
        <v>Falla</v>
      </c>
      <c r="BZ18" s="111" t="str">
        <f ca="1">RESULTADOS!BD35</f>
        <v>Pasa</v>
      </c>
      <c r="CA18" s="111" t="str">
        <f ca="1">RESULTADOS!BE35</f>
        <v>N/A</v>
      </c>
      <c r="CB18" s="111" t="str">
        <f ca="1">RESULTADOS!BF35</f>
        <v>Pasa</v>
      </c>
      <c r="CC18" s="111" t="str">
        <f ca="1">RESULTADOS!BG35</f>
        <v>N/A</v>
      </c>
      <c r="CD18" s="111" t="str">
        <f ca="1">RESULTADOS!BH35</f>
        <v>N/A</v>
      </c>
      <c r="CE18" s="111" t="str">
        <f ca="1">RESULTADOS!BI35</f>
        <v>Pasa</v>
      </c>
      <c r="CF18" s="111" t="str">
        <f ca="1">RESULTADOS!BJ35</f>
        <v>Falla</v>
      </c>
      <c r="CG18" s="111" t="str">
        <f ca="1">RESULTADOS!BK35</f>
        <v>Falla</v>
      </c>
      <c r="CH18" s="111" t="str">
        <f ca="1">RESULTADOS!BL35</f>
        <v>Falla</v>
      </c>
      <c r="CI18" s="111" t="str">
        <f ca="1">RESULTADOS!BM35</f>
        <v>Pasa</v>
      </c>
      <c r="CJ18" s="111" t="str">
        <f ca="1">RESULTADOS!BN35</f>
        <v>Falla</v>
      </c>
      <c r="CK18" s="111" t="str">
        <f ca="1">RESULTADOS!BO35</f>
        <v>Falla</v>
      </c>
      <c r="CL18" s="111" t="str">
        <f ca="1">RESULTADOS!BP35</f>
        <v>N/A</v>
      </c>
      <c r="CM18" s="111" t="str">
        <f ca="1">RESULTADOS!BQ35</f>
        <v>Pasa</v>
      </c>
      <c r="CN18" s="111" t="str">
        <f ca="1">RESULTADOS!BR35</f>
        <v>Falla</v>
      </c>
      <c r="CO18" s="111" t="str">
        <f ca="1">RESULTADOS!BS35</f>
        <v>N/A</v>
      </c>
      <c r="CP18" s="111" t="str">
        <f ca="1">RESULTADOS!BT35</f>
        <v>Pasa</v>
      </c>
      <c r="CQ18" s="111" t="str">
        <f ca="1">RESULTADOS!BU35</f>
        <v>N/A</v>
      </c>
      <c r="CR18" s="111" t="str">
        <f ca="1">RESULTADOS!BV35</f>
        <v>Pasa</v>
      </c>
      <c r="CS18" s="111" t="str">
        <f ca="1">RESULTADOS!BW35</f>
        <v>Pasa</v>
      </c>
      <c r="CT18" s="111" t="str">
        <f ca="1">RESULTADOS!BX35</f>
        <v>Falla</v>
      </c>
      <c r="CU18" s="111" t="str">
        <f ca="1">RESULTADOS!BY35</f>
        <v>Pasa</v>
      </c>
      <c r="CV18" s="111" t="str">
        <f ca="1">RESULTADOS!BZ35</f>
        <v>Pasa</v>
      </c>
      <c r="CW18" s="111" t="str">
        <f ca="1">RESULTADOS!CA35</f>
        <v>Falla</v>
      </c>
      <c r="CX18" s="111" t="str">
        <f ca="1">RESULTADOS!CB35</f>
        <v>Pasa</v>
      </c>
      <c r="CY18" s="111" t="str">
        <f ca="1">RESULTADOS!CC35</f>
        <v>N/A</v>
      </c>
      <c r="CZ18" s="111" t="str">
        <f ca="1">RESULTADOS!CD35</f>
        <v>N/A</v>
      </c>
      <c r="DA18" s="111" t="str">
        <f ca="1">RESULTADOS!CE35</f>
        <v>Pasa</v>
      </c>
      <c r="DB18" s="111" t="str">
        <f ca="1">RESULTADOS!CF35</f>
        <v>N/A</v>
      </c>
      <c r="DC18" s="111" t="str">
        <f ca="1">RESULTADOS!CG35</f>
        <v>Falla</v>
      </c>
      <c r="DD18" s="111" t="str">
        <f ca="1">RESULTADOS!CH35</f>
        <v>Falla</v>
      </c>
      <c r="DE18" s="111" t="str">
        <f ca="1">RESULTADOS!CI35</f>
        <v>N/A</v>
      </c>
      <c r="DF18" s="111" t="str">
        <f ca="1">RESULTADOS!CJ35</f>
        <v>N/A</v>
      </c>
      <c r="DG18" s="111" t="str">
        <f ca="1">RESULTADOS!CK35</f>
        <v>N/A</v>
      </c>
      <c r="DH18" s="111" t="str">
        <f ca="1">RESULTADOS!CL35</f>
        <v>N/A</v>
      </c>
      <c r="DI18" s="111" t="str">
        <f ca="1">RESULTADOS!CM35</f>
        <v>N/A</v>
      </c>
      <c r="DJ18" s="111" t="str">
        <f ca="1">RESULTADOS!CN35</f>
        <v>N/A</v>
      </c>
      <c r="DK18" s="111" t="str">
        <f ca="1">RESULTADOS!CO35</f>
        <v>N/A</v>
      </c>
      <c r="DL18" s="111" t="str">
        <f ca="1">RESULTADOS!CP35</f>
        <v>N/A</v>
      </c>
      <c r="DM18" s="111" t="str">
        <f ca="1">RESULTADOS!CQ35</f>
        <v>N/A</v>
      </c>
      <c r="DN18" s="111" t="str">
        <f ca="1">RESULTADOS!CR35</f>
        <v>N/A</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ht="13">
      <c r="C19" s="109" t="s">
        <v>44</v>
      </c>
      <c r="D19" s="112" t="str">
        <f>'01.Definición de ámbito'!D49</f>
        <v>No</v>
      </c>
      <c r="K19" t="s">
        <v>176</v>
      </c>
      <c r="L19" s="113">
        <f ca="1">RESULTADOS!L9</f>
        <v>354</v>
      </c>
      <c r="M19" s="171">
        <f ca="1">RESULTADOS!M9</f>
        <v>0.19239130434782609</v>
      </c>
      <c r="T19" s="113">
        <f>RESULTADOS!B36</f>
        <v>17</v>
      </c>
      <c r="U19" s="113" t="str">
        <f>RESULTADOS!C36</f>
        <v>Buscador</v>
      </c>
      <c r="V19" s="113" t="str">
        <f t="shared" si="0"/>
        <v>Página web</v>
      </c>
      <c r="W19" s="113" t="str">
        <v>Búsqueda</v>
      </c>
      <c r="X19" s="113" t="str">
        <f>RESULTADOS!D36</f>
        <v>https://elecciones.comunidad.madrid/es/search?search_api_fulltext=partido</v>
      </c>
      <c r="Y19" s="113" t="str">
        <v>Home &gt; Icono lupa &gt; Icono lupa (buscar = partido)</v>
      </c>
      <c r="Z19" s="188" t="str">
        <v>Texto</v>
      </c>
      <c r="AA19" s="111" t="str">
        <f ca="1">RESULTADOS!E36</f>
        <v>N/A</v>
      </c>
      <c r="AB19" s="111" t="str">
        <f ca="1">RESULTADOS!F36</f>
        <v>N/A</v>
      </c>
      <c r="AC19" s="111" t="str">
        <f ca="1">RESULTADOS!G36</f>
        <v>N/A</v>
      </c>
      <c r="AD19" s="111" t="str">
        <f ca="1">RESULTADOS!H36</f>
        <v>N/A</v>
      </c>
      <c r="AE19" s="111" t="str">
        <f ca="1">RESULTADOS!I36</f>
        <v>N/A</v>
      </c>
      <c r="AF19" s="111" t="str">
        <f ca="1">RESULTADOS!J36</f>
        <v>N/A</v>
      </c>
      <c r="AG19" s="111" t="str">
        <f ca="1">RESULTADOS!K36</f>
        <v>N/A</v>
      </c>
      <c r="AH19" s="111" t="str">
        <f ca="1">RESULTADOS!L36</f>
        <v>N/A</v>
      </c>
      <c r="AI19" s="111" t="str">
        <f ca="1">RESULTADOS!M36</f>
        <v>N/A</v>
      </c>
      <c r="AJ19" s="111" t="str">
        <f ca="1">RESULTADOS!N36</f>
        <v>N/A</v>
      </c>
      <c r="AK19" s="111" t="str">
        <f ca="1">RESULTADOS!O36</f>
        <v>N/A</v>
      </c>
      <c r="AL19" s="111" t="str">
        <f ca="1">RESULTADOS!P36</f>
        <v>N/A</v>
      </c>
      <c r="AM19" s="111" t="str">
        <f ca="1">RESULTADOS!Q36</f>
        <v>N/A</v>
      </c>
      <c r="AN19" s="111" t="str">
        <f ca="1">RESULTADOS!R36</f>
        <v>N/A</v>
      </c>
      <c r="AO19" s="111" t="str">
        <f ca="1">RESULTADOS!S36</f>
        <v>N/A</v>
      </c>
      <c r="AP19" s="111" t="str">
        <f ca="1">RESULTADOS!T36</f>
        <v>N/A</v>
      </c>
      <c r="AQ19" s="111" t="str">
        <f ca="1">RESULTADOS!U36</f>
        <v>N/A</v>
      </c>
      <c r="AR19" s="111" t="str">
        <f ca="1">RESULTADOS!V36</f>
        <v>N/A</v>
      </c>
      <c r="AS19" s="111" t="str">
        <f ca="1">RESULTADOS!W36</f>
        <v>N/A</v>
      </c>
      <c r="AT19" s="111" t="str">
        <f ca="1">RESULTADOS!X36</f>
        <v>N/A</v>
      </c>
      <c r="AU19" s="111" t="str">
        <f ca="1">RESULTADOS!Y36</f>
        <v>N/A</v>
      </c>
      <c r="AV19" s="111" t="str">
        <f ca="1">RESULTADOS!Z36</f>
        <v>N/A</v>
      </c>
      <c r="AW19" s="111" t="str">
        <f ca="1">RESULTADOS!AA36</f>
        <v>N/A</v>
      </c>
      <c r="AX19" s="111" t="str">
        <f ca="1">RESULTADOS!AB36</f>
        <v>N/A</v>
      </c>
      <c r="AY19" s="111" t="str">
        <f ca="1">RESULTADOS!AC36</f>
        <v>N/A</v>
      </c>
      <c r="AZ19" s="111" t="str">
        <f ca="1">RESULTADOS!AD36</f>
        <v>N/A</v>
      </c>
      <c r="BA19" s="111" t="str">
        <f ca="1">RESULTADOS!AE36</f>
        <v>N/A</v>
      </c>
      <c r="BB19" s="111" t="str">
        <f ca="1">RESULTADOS!AF36</f>
        <v>N/A</v>
      </c>
      <c r="BC19" s="111" t="str">
        <f ca="1">RESULTADOS!AG36</f>
        <v>N/A</v>
      </c>
      <c r="BD19" s="111" t="str">
        <f ca="1">RESULTADOS!AH36</f>
        <v>N/A</v>
      </c>
      <c r="BE19" s="111" t="str">
        <f ca="1">RESULTADOS!AI36</f>
        <v>N/A</v>
      </c>
      <c r="BF19" s="111" t="str">
        <f ca="1">RESULTADOS!AJ36</f>
        <v>Pasa</v>
      </c>
      <c r="BG19" s="111" t="str">
        <f ca="1">RESULTADOS!AK36</f>
        <v>N/A</v>
      </c>
      <c r="BH19" s="111" t="str">
        <f ca="1">RESULTADOS!AL36</f>
        <v>N/A</v>
      </c>
      <c r="BI19" s="111" t="str">
        <f ca="1">RESULTADOS!AM36</f>
        <v>N/A</v>
      </c>
      <c r="BJ19" s="111" t="str">
        <f ca="1">RESULTADOS!AN36</f>
        <v>N/A</v>
      </c>
      <c r="BK19" s="111" t="str">
        <f ca="1">RESULTADOS!AO36</f>
        <v>Falla</v>
      </c>
      <c r="BL19" s="111" t="str">
        <f ca="1">RESULTADOS!AP36</f>
        <v>Falla</v>
      </c>
      <c r="BM19" s="111" t="str">
        <f ca="1">RESULTADOS!AQ36</f>
        <v>Falla</v>
      </c>
      <c r="BN19" s="111" t="str">
        <f ca="1">RESULTADOS!AR36</f>
        <v>Falla</v>
      </c>
      <c r="BO19" s="111" t="str">
        <f ca="1">RESULTADOS!AS36</f>
        <v>N/A</v>
      </c>
      <c r="BP19" s="111" t="str">
        <f ca="1">RESULTADOS!AT36</f>
        <v>Pasa</v>
      </c>
      <c r="BQ19" s="111" t="str">
        <f ca="1">RESULTADOS!AU36</f>
        <v>N/A</v>
      </c>
      <c r="BR19" s="111" t="str">
        <f ca="1">RESULTADOS!AV36</f>
        <v>Pasa</v>
      </c>
      <c r="BS19" s="111" t="str">
        <f ca="1">RESULTADOS!AW36</f>
        <v>Falla</v>
      </c>
      <c r="BT19" s="111" t="str">
        <f ca="1">RESULTADOS!AX36</f>
        <v>N/A</v>
      </c>
      <c r="BU19" s="111" t="str">
        <f ca="1">RESULTADOS!AY36</f>
        <v>Falla</v>
      </c>
      <c r="BV19" s="111" t="str">
        <f ca="1">RESULTADOS!AZ36</f>
        <v>Falla</v>
      </c>
      <c r="BW19" s="111" t="str">
        <f ca="1">RESULTADOS!BA36</f>
        <v>Pasa</v>
      </c>
      <c r="BX19" s="111" t="str">
        <f ca="1">RESULTADOS!BB36</f>
        <v>Falla</v>
      </c>
      <c r="BY19" s="111" t="str">
        <f ca="1">RESULTADOS!BC36</f>
        <v>Falla</v>
      </c>
      <c r="BZ19" s="111" t="str">
        <f ca="1">RESULTADOS!BD36</f>
        <v>Pasa</v>
      </c>
      <c r="CA19" s="111" t="str">
        <f ca="1">RESULTADOS!BE36</f>
        <v>N/A</v>
      </c>
      <c r="CB19" s="111" t="str">
        <f ca="1">RESULTADOS!BF36</f>
        <v>Pasa</v>
      </c>
      <c r="CC19" s="111" t="str">
        <f ca="1">RESULTADOS!BG36</f>
        <v>N/A</v>
      </c>
      <c r="CD19" s="111" t="str">
        <f ca="1">RESULTADOS!BH36</f>
        <v>N/A</v>
      </c>
      <c r="CE19" s="111" t="str">
        <f ca="1">RESULTADOS!BI36</f>
        <v>Pasa</v>
      </c>
      <c r="CF19" s="111" t="str">
        <f ca="1">RESULTADOS!BJ36</f>
        <v>Pasa</v>
      </c>
      <c r="CG19" s="111" t="str">
        <f ca="1">RESULTADOS!BK36</f>
        <v>Falla</v>
      </c>
      <c r="CH19" s="111" t="str">
        <f ca="1">RESULTADOS!BL36</f>
        <v>Falla</v>
      </c>
      <c r="CI19" s="111" t="str">
        <f ca="1">RESULTADOS!BM36</f>
        <v>Pasa</v>
      </c>
      <c r="CJ19" s="111" t="str">
        <f ca="1">RESULTADOS!BN36</f>
        <v>Pasa</v>
      </c>
      <c r="CK19" s="111" t="str">
        <f ca="1">RESULTADOS!BO36</f>
        <v>Falla</v>
      </c>
      <c r="CL19" s="111" t="str">
        <f ca="1">RESULTADOS!BP36</f>
        <v>N/A</v>
      </c>
      <c r="CM19" s="111" t="str">
        <f ca="1">RESULTADOS!BQ36</f>
        <v>Pasa</v>
      </c>
      <c r="CN19" s="111" t="str">
        <f ca="1">RESULTADOS!BR36</f>
        <v>Falla</v>
      </c>
      <c r="CO19" s="111" t="str">
        <f ca="1">RESULTADOS!BS36</f>
        <v>N/A</v>
      </c>
      <c r="CP19" s="111" t="str">
        <f ca="1">RESULTADOS!BT36</f>
        <v>Pasa</v>
      </c>
      <c r="CQ19" s="111" t="str">
        <f ca="1">RESULTADOS!BU36</f>
        <v>N/A</v>
      </c>
      <c r="CR19" s="111" t="str">
        <f ca="1">RESULTADOS!BV36</f>
        <v>Pasa</v>
      </c>
      <c r="CS19" s="111" t="str">
        <f ca="1">RESULTADOS!BW36</f>
        <v>Pasa</v>
      </c>
      <c r="CT19" s="111" t="str">
        <f ca="1">RESULTADOS!BX36</f>
        <v>Pasa</v>
      </c>
      <c r="CU19" s="111" t="str">
        <f ca="1">RESULTADOS!BY36</f>
        <v>Pasa</v>
      </c>
      <c r="CV19" s="111" t="str">
        <f ca="1">RESULTADOS!BZ36</f>
        <v>N/A</v>
      </c>
      <c r="CW19" s="111" t="str">
        <f ca="1">RESULTADOS!CA36</f>
        <v>Pasa</v>
      </c>
      <c r="CX19" s="111" t="str">
        <f ca="1">RESULTADOS!CB36</f>
        <v>N/A</v>
      </c>
      <c r="CY19" s="111" t="str">
        <f ca="1">RESULTADOS!CC36</f>
        <v>N/A</v>
      </c>
      <c r="CZ19" s="111" t="str">
        <f ca="1">RESULTADOS!CD36</f>
        <v>N/A</v>
      </c>
      <c r="DA19" s="111" t="str">
        <f ca="1">RESULTADOS!CE36</f>
        <v>Pasa</v>
      </c>
      <c r="DB19" s="111" t="str">
        <f ca="1">RESULTADOS!CF36</f>
        <v>N/A</v>
      </c>
      <c r="DC19" s="111" t="str">
        <f ca="1">RESULTADOS!CG36</f>
        <v>Falla</v>
      </c>
      <c r="DD19" s="111" t="str">
        <f ca="1">RESULTADOS!CH36</f>
        <v>Falla</v>
      </c>
      <c r="DE19" s="111" t="str">
        <f ca="1">RESULTADOS!CI36</f>
        <v>N/A</v>
      </c>
      <c r="DF19" s="111" t="str">
        <f ca="1">RESULTADOS!CJ36</f>
        <v>N/A</v>
      </c>
      <c r="DG19" s="111" t="str">
        <f ca="1">RESULTADOS!CK36</f>
        <v>N/A</v>
      </c>
      <c r="DH19" s="111" t="str">
        <f ca="1">RESULTADOS!CL36</f>
        <v>N/A</v>
      </c>
      <c r="DI19" s="111" t="str">
        <f ca="1">RESULTADOS!CM36</f>
        <v>N/A</v>
      </c>
      <c r="DJ19" s="111" t="str">
        <f ca="1">RESULTADOS!CN36</f>
        <v>N/A</v>
      </c>
      <c r="DK19" s="111" t="str">
        <f ca="1">RESULTADOS!CO36</f>
        <v>N/A</v>
      </c>
      <c r="DL19" s="111" t="str">
        <f ca="1">RESULTADOS!CP36</f>
        <v>N/A</v>
      </c>
      <c r="DM19" s="111" t="str">
        <f ca="1">RESULTADOS!CQ36</f>
        <v>N/A</v>
      </c>
      <c r="DN19" s="111" t="str">
        <f ca="1">RESULTADOS!CR36</f>
        <v>N/A</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ht="13">
      <c r="C20" s="109" t="s">
        <v>45</v>
      </c>
      <c r="D20" s="112" t="str">
        <f>'01.Definición de ámbito'!D50</f>
        <v>No</v>
      </c>
      <c r="K20" t="s">
        <v>179</v>
      </c>
      <c r="L20" s="113">
        <f ca="1">RESULTADOS!L10</f>
        <v>1130</v>
      </c>
      <c r="M20" s="171">
        <f ca="1">RESULTADOS!M10</f>
        <v>0.61413043478260865</v>
      </c>
      <c r="T20" s="113">
        <f>RESULTADOS!B37</f>
        <v>18</v>
      </c>
      <c r="U20" s="113" t="str">
        <f>RESULTADOS!C37</f>
        <v>Aviso Legal-Privacidad</v>
      </c>
      <c r="V20" s="113" t="str">
        <f t="shared" si="0"/>
        <v>Página web</v>
      </c>
      <c r="W20" s="113" t="str">
        <v>Legal</v>
      </c>
      <c r="X20" s="113" t="str">
        <f>RESULTADOS!D37</f>
        <v>https://elecciones.comunidad.madrid/es/aviso-legal</v>
      </c>
      <c r="Y20" s="113" t="str">
        <v>Home &gt; Aviso Legal - Privacidad</v>
      </c>
      <c r="Z20" s="188" t="str">
        <v>Texto</v>
      </c>
      <c r="AA20" s="111" t="str">
        <f ca="1">RESULTADOS!E37</f>
        <v>Falla</v>
      </c>
      <c r="AB20" s="111" t="str">
        <f ca="1">RESULTADOS!F37</f>
        <v>N/A</v>
      </c>
      <c r="AC20" s="111" t="str">
        <f ca="1">RESULTADOS!G37</f>
        <v>N/A</v>
      </c>
      <c r="AD20" s="111" t="str">
        <f ca="1">RESULTADOS!H37</f>
        <v>N/A</v>
      </c>
      <c r="AE20" s="111" t="str">
        <f ca="1">RESULTADOS!I37</f>
        <v>N/A</v>
      </c>
      <c r="AF20" s="111" t="str">
        <f ca="1">RESULTADOS!J37</f>
        <v>N/A</v>
      </c>
      <c r="AG20" s="111" t="str">
        <f ca="1">RESULTADOS!K37</f>
        <v>N/A</v>
      </c>
      <c r="AH20" s="111" t="str">
        <f ca="1">RESULTADOS!L37</f>
        <v>N/A</v>
      </c>
      <c r="AI20" s="111" t="str">
        <f ca="1">RESULTADOS!M37</f>
        <v>N/A</v>
      </c>
      <c r="AJ20" s="111" t="str">
        <f ca="1">RESULTADOS!N37</f>
        <v>N/A</v>
      </c>
      <c r="AK20" s="111" t="str">
        <f ca="1">RESULTADOS!O37</f>
        <v>N/A</v>
      </c>
      <c r="AL20" s="111" t="str">
        <f ca="1">RESULTADOS!P37</f>
        <v>N/A</v>
      </c>
      <c r="AM20" s="111" t="str">
        <f ca="1">RESULTADOS!Q37</f>
        <v>N/A</v>
      </c>
      <c r="AN20" s="111" t="str">
        <f ca="1">RESULTADOS!R37</f>
        <v>N/A</v>
      </c>
      <c r="AO20" s="111" t="str">
        <f ca="1">RESULTADOS!S37</f>
        <v>N/A</v>
      </c>
      <c r="AP20" s="111" t="str">
        <f ca="1">RESULTADOS!T37</f>
        <v>N/A</v>
      </c>
      <c r="AQ20" s="111" t="str">
        <f ca="1">RESULTADOS!U37</f>
        <v>N/A</v>
      </c>
      <c r="AR20" s="111" t="str">
        <f ca="1">RESULTADOS!V37</f>
        <v>N/A</v>
      </c>
      <c r="AS20" s="111" t="str">
        <f ca="1">RESULTADOS!W37</f>
        <v>N/A</v>
      </c>
      <c r="AT20" s="111" t="str">
        <f ca="1">RESULTADOS!X37</f>
        <v>N/A</v>
      </c>
      <c r="AU20" s="111" t="str">
        <f ca="1">RESULTADOS!Y37</f>
        <v>N/A</v>
      </c>
      <c r="AV20" s="111" t="str">
        <f ca="1">RESULTADOS!Z37</f>
        <v>N/A</v>
      </c>
      <c r="AW20" s="111" t="str">
        <f ca="1">RESULTADOS!AA37</f>
        <v>N/A</v>
      </c>
      <c r="AX20" s="111" t="str">
        <f ca="1">RESULTADOS!AB37</f>
        <v>N/A</v>
      </c>
      <c r="AY20" s="111" t="str">
        <f ca="1">RESULTADOS!AC37</f>
        <v>N/A</v>
      </c>
      <c r="AZ20" s="111" t="str">
        <f ca="1">RESULTADOS!AD37</f>
        <v>N/A</v>
      </c>
      <c r="BA20" s="111" t="str">
        <f ca="1">RESULTADOS!AE37</f>
        <v>N/A</v>
      </c>
      <c r="BB20" s="111" t="str">
        <f ca="1">RESULTADOS!AF37</f>
        <v>N/A</v>
      </c>
      <c r="BC20" s="111" t="str">
        <f ca="1">RESULTADOS!AG37</f>
        <v>N/A</v>
      </c>
      <c r="BD20" s="111" t="str">
        <f ca="1">RESULTADOS!AH37</f>
        <v>N/A</v>
      </c>
      <c r="BE20" s="111" t="str">
        <f ca="1">RESULTADOS!AI37</f>
        <v>N/A</v>
      </c>
      <c r="BF20" s="111" t="str">
        <f ca="1">RESULTADOS!AJ37</f>
        <v>Pasa</v>
      </c>
      <c r="BG20" s="111" t="str">
        <f ca="1">RESULTADOS!AK37</f>
        <v>N/A</v>
      </c>
      <c r="BH20" s="111" t="str">
        <f ca="1">RESULTADOS!AL37</f>
        <v>N/A</v>
      </c>
      <c r="BI20" s="111" t="str">
        <f ca="1">RESULTADOS!AM37</f>
        <v>N/A</v>
      </c>
      <c r="BJ20" s="111" t="str">
        <f ca="1">RESULTADOS!AN37</f>
        <v>N/A</v>
      </c>
      <c r="BK20" s="111" t="str">
        <f ca="1">RESULTADOS!AO37</f>
        <v>Falla</v>
      </c>
      <c r="BL20" s="111" t="str">
        <f ca="1">RESULTADOS!AP37</f>
        <v>Falla</v>
      </c>
      <c r="BM20" s="111" t="str">
        <f ca="1">RESULTADOS!AQ37</f>
        <v>Falla</v>
      </c>
      <c r="BN20" s="111" t="str">
        <f ca="1">RESULTADOS!AR37</f>
        <v>Falla</v>
      </c>
      <c r="BO20" s="111" t="str">
        <f ca="1">RESULTADOS!AS37</f>
        <v>N/A</v>
      </c>
      <c r="BP20" s="111" t="str">
        <f ca="1">RESULTADOS!AT37</f>
        <v>Pasa</v>
      </c>
      <c r="BQ20" s="111" t="str">
        <f ca="1">RESULTADOS!AU37</f>
        <v>N/A</v>
      </c>
      <c r="BR20" s="111" t="str">
        <f ca="1">RESULTADOS!AV37</f>
        <v>Pasa</v>
      </c>
      <c r="BS20" s="111" t="str">
        <f ca="1">RESULTADOS!AW37</f>
        <v>Falla</v>
      </c>
      <c r="BT20" s="111" t="str">
        <f ca="1">RESULTADOS!AX37</f>
        <v>N/A</v>
      </c>
      <c r="BU20" s="111" t="str">
        <f ca="1">RESULTADOS!AY37</f>
        <v>Falla</v>
      </c>
      <c r="BV20" s="111" t="str">
        <f ca="1">RESULTADOS!AZ37</f>
        <v>Falla</v>
      </c>
      <c r="BW20" s="111" t="str">
        <f ca="1">RESULTADOS!BA37</f>
        <v>Pasa</v>
      </c>
      <c r="BX20" s="111" t="str">
        <f ca="1">RESULTADOS!BB37</f>
        <v>Falla</v>
      </c>
      <c r="BY20" s="111" t="str">
        <f ca="1">RESULTADOS!BC37</f>
        <v>Falla</v>
      </c>
      <c r="BZ20" s="111" t="str">
        <f ca="1">RESULTADOS!BD37</f>
        <v>Pasa</v>
      </c>
      <c r="CA20" s="111" t="str">
        <f ca="1">RESULTADOS!BE37</f>
        <v>N/A</v>
      </c>
      <c r="CB20" s="111" t="str">
        <f ca="1">RESULTADOS!BF37</f>
        <v>Pasa</v>
      </c>
      <c r="CC20" s="111" t="str">
        <f ca="1">RESULTADOS!BG37</f>
        <v>N/A</v>
      </c>
      <c r="CD20" s="111" t="str">
        <f ca="1">RESULTADOS!BH37</f>
        <v>N/A</v>
      </c>
      <c r="CE20" s="111" t="str">
        <f ca="1">RESULTADOS!BI37</f>
        <v>Pasa</v>
      </c>
      <c r="CF20" s="111" t="str">
        <f ca="1">RESULTADOS!BJ37</f>
        <v>Pasa</v>
      </c>
      <c r="CG20" s="111" t="str">
        <f ca="1">RESULTADOS!BK37</f>
        <v>Falla</v>
      </c>
      <c r="CH20" s="111" t="str">
        <f ca="1">RESULTADOS!BL37</f>
        <v>Falla</v>
      </c>
      <c r="CI20" s="111" t="str">
        <f ca="1">RESULTADOS!BM37</f>
        <v>Pasa</v>
      </c>
      <c r="CJ20" s="111" t="str">
        <f ca="1">RESULTADOS!BN37</f>
        <v>Pasa</v>
      </c>
      <c r="CK20" s="111" t="str">
        <f ca="1">RESULTADOS!BO37</f>
        <v>Falla</v>
      </c>
      <c r="CL20" s="111" t="str">
        <f ca="1">RESULTADOS!BP37</f>
        <v>N/A</v>
      </c>
      <c r="CM20" s="111" t="str">
        <f ca="1">RESULTADOS!BQ37</f>
        <v>Pasa</v>
      </c>
      <c r="CN20" s="111" t="str">
        <f ca="1">RESULTADOS!BR37</f>
        <v>Falla</v>
      </c>
      <c r="CO20" s="111" t="str">
        <f ca="1">RESULTADOS!BS37</f>
        <v>N/A</v>
      </c>
      <c r="CP20" s="111" t="str">
        <f ca="1">RESULTADOS!BT37</f>
        <v>Pasa</v>
      </c>
      <c r="CQ20" s="111" t="str">
        <f ca="1">RESULTADOS!BU37</f>
        <v>N/A</v>
      </c>
      <c r="CR20" s="111" t="str">
        <f ca="1">RESULTADOS!BV37</f>
        <v>Pasa</v>
      </c>
      <c r="CS20" s="111" t="str">
        <f ca="1">RESULTADOS!BW37</f>
        <v>Pasa</v>
      </c>
      <c r="CT20" s="111" t="str">
        <f ca="1">RESULTADOS!BX37</f>
        <v>Pasa</v>
      </c>
      <c r="CU20" s="111" t="str">
        <f ca="1">RESULTADOS!BY37</f>
        <v>Pasa</v>
      </c>
      <c r="CV20" s="111" t="str">
        <f ca="1">RESULTADOS!BZ37</f>
        <v>N/A</v>
      </c>
      <c r="CW20" s="111" t="str">
        <f ca="1">RESULTADOS!CA37</f>
        <v>Pasa</v>
      </c>
      <c r="CX20" s="111" t="str">
        <f ca="1">RESULTADOS!CB37</f>
        <v>N/A</v>
      </c>
      <c r="CY20" s="111" t="str">
        <f ca="1">RESULTADOS!CC37</f>
        <v>N/A</v>
      </c>
      <c r="CZ20" s="111" t="str">
        <f ca="1">RESULTADOS!CD37</f>
        <v>N/A</v>
      </c>
      <c r="DA20" s="111" t="str">
        <f ca="1">RESULTADOS!CE37</f>
        <v>Pasa</v>
      </c>
      <c r="DB20" s="111" t="str">
        <f ca="1">RESULTADOS!CF37</f>
        <v>N/A</v>
      </c>
      <c r="DC20" s="111" t="str">
        <f ca="1">RESULTADOS!CG37</f>
        <v>Falla</v>
      </c>
      <c r="DD20" s="111" t="str">
        <f ca="1">RESULTADOS!CH37</f>
        <v>Falla</v>
      </c>
      <c r="DE20" s="111" t="str">
        <f ca="1">RESULTADOS!CI37</f>
        <v>N/A</v>
      </c>
      <c r="DF20" s="111" t="str">
        <f ca="1">RESULTADOS!CJ37</f>
        <v>N/A</v>
      </c>
      <c r="DG20" s="111" t="str">
        <f ca="1">RESULTADOS!CK37</f>
        <v>N/A</v>
      </c>
      <c r="DH20" s="111" t="str">
        <f ca="1">RESULTADOS!CL37</f>
        <v>N/A</v>
      </c>
      <c r="DI20" s="111" t="str">
        <f ca="1">RESULTADOS!CM37</f>
        <v>N/A</v>
      </c>
      <c r="DJ20" s="111" t="str">
        <f ca="1">RESULTADOS!CN37</f>
        <v>N/A</v>
      </c>
      <c r="DK20" s="111" t="str">
        <f ca="1">RESULTADOS!CO37</f>
        <v>N/A</v>
      </c>
      <c r="DL20" s="111" t="str">
        <f ca="1">RESULTADOS!CP37</f>
        <v>N/A</v>
      </c>
      <c r="DM20" s="111" t="str">
        <f ca="1">RESULTADOS!CQ37</f>
        <v>N/A</v>
      </c>
      <c r="DN20" s="111" t="str">
        <f ca="1">RESULTADOS!CR37</f>
        <v>N/A</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ht="13">
      <c r="C21" s="109" t="s">
        <v>46</v>
      </c>
      <c r="D21" s="112" t="str">
        <f>'01.Definición de ámbito'!D51</f>
        <v>No</v>
      </c>
      <c r="K21" t="s">
        <v>348</v>
      </c>
      <c r="L21" s="113">
        <f ca="1">RESULTADOS!L11</f>
        <v>1840</v>
      </c>
      <c r="M21" s="171">
        <f ca="1">RESULTADOS!M11</f>
        <v>1</v>
      </c>
      <c r="T21" s="113">
        <f>RESULTADOS!B38</f>
        <v>19</v>
      </c>
      <c r="U21" s="113" t="str">
        <f>RESULTADOS!C38</f>
        <v>Mapa Web</v>
      </c>
      <c r="V21" s="113" t="str">
        <f t="shared" si="0"/>
        <v>Página web</v>
      </c>
      <c r="W21" s="113" t="str">
        <v>Mapa web</v>
      </c>
      <c r="X21" s="113" t="str">
        <f>RESULTADOS!D38</f>
        <v>https://elecciones.comunidad.madrid/es/sitemap</v>
      </c>
      <c r="Y21" s="113" t="str">
        <v>Home &gt; Mapa Web</v>
      </c>
      <c r="Z21" s="188" t="str">
        <v>Enlaces</v>
      </c>
      <c r="AA21" s="111" t="str">
        <f ca="1">RESULTADOS!E38</f>
        <v>N/A</v>
      </c>
      <c r="AB21" s="111" t="str">
        <f ca="1">RESULTADOS!F38</f>
        <v>N/A</v>
      </c>
      <c r="AC21" s="111" t="str">
        <f ca="1">RESULTADOS!G38</f>
        <v>N/A</v>
      </c>
      <c r="AD21" s="111" t="str">
        <f ca="1">RESULTADOS!H38</f>
        <v>N/A</v>
      </c>
      <c r="AE21" s="111" t="str">
        <f ca="1">RESULTADOS!I38</f>
        <v>N/A</v>
      </c>
      <c r="AF21" s="111" t="str">
        <f ca="1">RESULTADOS!J38</f>
        <v>N/A</v>
      </c>
      <c r="AG21" s="111" t="str">
        <f ca="1">RESULTADOS!K38</f>
        <v>N/A</v>
      </c>
      <c r="AH21" s="111" t="str">
        <f ca="1">RESULTADOS!L38</f>
        <v>N/A</v>
      </c>
      <c r="AI21" s="111" t="str">
        <f ca="1">RESULTADOS!M38</f>
        <v>N/A</v>
      </c>
      <c r="AJ21" s="111" t="str">
        <f ca="1">RESULTADOS!N38</f>
        <v>N/A</v>
      </c>
      <c r="AK21" s="111" t="str">
        <f ca="1">RESULTADOS!O38</f>
        <v>N/A</v>
      </c>
      <c r="AL21" s="111" t="str">
        <f ca="1">RESULTADOS!P38</f>
        <v>N/A</v>
      </c>
      <c r="AM21" s="111" t="str">
        <f ca="1">RESULTADOS!Q38</f>
        <v>N/A</v>
      </c>
      <c r="AN21" s="111" t="str">
        <f ca="1">RESULTADOS!R38</f>
        <v>N/A</v>
      </c>
      <c r="AO21" s="111" t="str">
        <f ca="1">RESULTADOS!S38</f>
        <v>N/A</v>
      </c>
      <c r="AP21" s="111" t="str">
        <f ca="1">RESULTADOS!T38</f>
        <v>N/A</v>
      </c>
      <c r="AQ21" s="111" t="str">
        <f ca="1">RESULTADOS!U38</f>
        <v>N/A</v>
      </c>
      <c r="AR21" s="111" t="str">
        <f ca="1">RESULTADOS!V38</f>
        <v>N/A</v>
      </c>
      <c r="AS21" s="111" t="str">
        <f ca="1">RESULTADOS!W38</f>
        <v>N/A</v>
      </c>
      <c r="AT21" s="111" t="str">
        <f ca="1">RESULTADOS!X38</f>
        <v>N/A</v>
      </c>
      <c r="AU21" s="111" t="str">
        <f ca="1">RESULTADOS!Y38</f>
        <v>N/A</v>
      </c>
      <c r="AV21" s="111" t="str">
        <f ca="1">RESULTADOS!Z38</f>
        <v>N/A</v>
      </c>
      <c r="AW21" s="111" t="str">
        <f ca="1">RESULTADOS!AA38</f>
        <v>N/A</v>
      </c>
      <c r="AX21" s="111" t="str">
        <f ca="1">RESULTADOS!AB38</f>
        <v>N/A</v>
      </c>
      <c r="AY21" s="111" t="str">
        <f ca="1">RESULTADOS!AC38</f>
        <v>N/A</v>
      </c>
      <c r="AZ21" s="111" t="str">
        <f ca="1">RESULTADOS!AD38</f>
        <v>N/A</v>
      </c>
      <c r="BA21" s="111" t="str">
        <f ca="1">RESULTADOS!AE38</f>
        <v>N/A</v>
      </c>
      <c r="BB21" s="111" t="str">
        <f ca="1">RESULTADOS!AF38</f>
        <v>N/A</v>
      </c>
      <c r="BC21" s="111" t="str">
        <f ca="1">RESULTADOS!AG38</f>
        <v>N/A</v>
      </c>
      <c r="BD21" s="111" t="str">
        <f ca="1">RESULTADOS!AH38</f>
        <v>N/A</v>
      </c>
      <c r="BE21" s="111" t="str">
        <f ca="1">RESULTADOS!AI38</f>
        <v>N/A</v>
      </c>
      <c r="BF21" s="111" t="str">
        <f ca="1">RESULTADOS!AJ38</f>
        <v>Pasa</v>
      </c>
      <c r="BG21" s="111" t="str">
        <f ca="1">RESULTADOS!AK38</f>
        <v>N/A</v>
      </c>
      <c r="BH21" s="111" t="str">
        <f ca="1">RESULTADOS!AL38</f>
        <v>N/A</v>
      </c>
      <c r="BI21" s="111" t="str">
        <f ca="1">RESULTADOS!AM38</f>
        <v>N/A</v>
      </c>
      <c r="BJ21" s="111" t="str">
        <f ca="1">RESULTADOS!AN38</f>
        <v>N/A</v>
      </c>
      <c r="BK21" s="111" t="str">
        <f ca="1">RESULTADOS!AO38</f>
        <v>Falla</v>
      </c>
      <c r="BL21" s="111" t="str">
        <f ca="1">RESULTADOS!AP38</f>
        <v>Falla</v>
      </c>
      <c r="BM21" s="111" t="str">
        <f ca="1">RESULTADOS!AQ38</f>
        <v>Falla</v>
      </c>
      <c r="BN21" s="111" t="str">
        <f ca="1">RESULTADOS!AR38</f>
        <v>Falla</v>
      </c>
      <c r="BO21" s="111" t="str">
        <f ca="1">RESULTADOS!AS38</f>
        <v>N/A</v>
      </c>
      <c r="BP21" s="111" t="str">
        <f ca="1">RESULTADOS!AT38</f>
        <v>Pasa</v>
      </c>
      <c r="BQ21" s="111" t="str">
        <f ca="1">RESULTADOS!AU38</f>
        <v>N/A</v>
      </c>
      <c r="BR21" s="111" t="str">
        <f ca="1">RESULTADOS!AV38</f>
        <v>Pasa</v>
      </c>
      <c r="BS21" s="111" t="str">
        <f ca="1">RESULTADOS!AW38</f>
        <v>Falla</v>
      </c>
      <c r="BT21" s="111" t="str">
        <f ca="1">RESULTADOS!AX38</f>
        <v>N/A</v>
      </c>
      <c r="BU21" s="111" t="str">
        <f ca="1">RESULTADOS!AY38</f>
        <v>Falla</v>
      </c>
      <c r="BV21" s="111" t="str">
        <f ca="1">RESULTADOS!AZ38</f>
        <v>Falla</v>
      </c>
      <c r="BW21" s="111" t="str">
        <f ca="1">RESULTADOS!BA38</f>
        <v>Pasa</v>
      </c>
      <c r="BX21" s="111" t="str">
        <f ca="1">RESULTADOS!BB38</f>
        <v>Falla</v>
      </c>
      <c r="BY21" s="111" t="str">
        <f ca="1">RESULTADOS!BC38</f>
        <v>Falla</v>
      </c>
      <c r="BZ21" s="111" t="str">
        <f ca="1">RESULTADOS!BD38</f>
        <v>Pasa</v>
      </c>
      <c r="CA21" s="111" t="str">
        <f ca="1">RESULTADOS!BE38</f>
        <v>N/A</v>
      </c>
      <c r="CB21" s="111" t="str">
        <f ca="1">RESULTADOS!BF38</f>
        <v>Pasa</v>
      </c>
      <c r="CC21" s="111" t="str">
        <f ca="1">RESULTADOS!BG38</f>
        <v>N/A</v>
      </c>
      <c r="CD21" s="111" t="str">
        <f ca="1">RESULTADOS!BH38</f>
        <v>N/A</v>
      </c>
      <c r="CE21" s="111" t="str">
        <f ca="1">RESULTADOS!BI38</f>
        <v>Pasa</v>
      </c>
      <c r="CF21" s="111" t="str">
        <f ca="1">RESULTADOS!BJ38</f>
        <v>Pasa</v>
      </c>
      <c r="CG21" s="111" t="str">
        <f ca="1">RESULTADOS!BK38</f>
        <v>Falla</v>
      </c>
      <c r="CH21" s="111" t="str">
        <f ca="1">RESULTADOS!BL38</f>
        <v>Falla</v>
      </c>
      <c r="CI21" s="111" t="str">
        <f ca="1">RESULTADOS!BM38</f>
        <v>Pasa</v>
      </c>
      <c r="CJ21" s="111" t="str">
        <f ca="1">RESULTADOS!BN38</f>
        <v>Pasa</v>
      </c>
      <c r="CK21" s="111" t="str">
        <f ca="1">RESULTADOS!BO38</f>
        <v>Falla</v>
      </c>
      <c r="CL21" s="111" t="str">
        <f ca="1">RESULTADOS!BP38</f>
        <v>N/A</v>
      </c>
      <c r="CM21" s="111" t="str">
        <f ca="1">RESULTADOS!BQ38</f>
        <v>Pasa</v>
      </c>
      <c r="CN21" s="111" t="str">
        <f ca="1">RESULTADOS!BR38</f>
        <v>Falla</v>
      </c>
      <c r="CO21" s="111" t="str">
        <f ca="1">RESULTADOS!BS38</f>
        <v>N/A</v>
      </c>
      <c r="CP21" s="111" t="str">
        <f ca="1">RESULTADOS!BT38</f>
        <v>Pasa</v>
      </c>
      <c r="CQ21" s="111" t="str">
        <f ca="1">RESULTADOS!BU38</f>
        <v>N/A</v>
      </c>
      <c r="CR21" s="111" t="str">
        <f ca="1">RESULTADOS!BV38</f>
        <v>Pasa</v>
      </c>
      <c r="CS21" s="111" t="str">
        <f ca="1">RESULTADOS!BW38</f>
        <v>Pasa</v>
      </c>
      <c r="CT21" s="111" t="str">
        <f ca="1">RESULTADOS!BX38</f>
        <v>Pasa</v>
      </c>
      <c r="CU21" s="111" t="str">
        <f ca="1">RESULTADOS!BY38</f>
        <v>Pasa</v>
      </c>
      <c r="CV21" s="111" t="str">
        <f ca="1">RESULTADOS!BZ38</f>
        <v>N/A</v>
      </c>
      <c r="CW21" s="111" t="str">
        <f ca="1">RESULTADOS!CA38</f>
        <v>Pasa</v>
      </c>
      <c r="CX21" s="111" t="str">
        <f ca="1">RESULTADOS!CB38</f>
        <v>N/A</v>
      </c>
      <c r="CY21" s="111" t="str">
        <f ca="1">RESULTADOS!CC38</f>
        <v>N/A</v>
      </c>
      <c r="CZ21" s="111" t="str">
        <f ca="1">RESULTADOS!CD38</f>
        <v>N/A</v>
      </c>
      <c r="DA21" s="111" t="str">
        <f ca="1">RESULTADOS!CE38</f>
        <v>Pasa</v>
      </c>
      <c r="DB21" s="111" t="str">
        <f ca="1">RESULTADOS!CF38</f>
        <v>N/A</v>
      </c>
      <c r="DC21" s="111" t="str">
        <f ca="1">RESULTADOS!CG38</f>
        <v>Falla</v>
      </c>
      <c r="DD21" s="111" t="str">
        <f ca="1">RESULTADOS!CH38</f>
        <v>Falla</v>
      </c>
      <c r="DE21" s="111" t="str">
        <f ca="1">RESULTADOS!CI38</f>
        <v>N/A</v>
      </c>
      <c r="DF21" s="111" t="str">
        <f ca="1">RESULTADOS!CJ38</f>
        <v>N/A</v>
      </c>
      <c r="DG21" s="111" t="str">
        <f ca="1">RESULTADOS!CK38</f>
        <v>N/A</v>
      </c>
      <c r="DH21" s="111" t="str">
        <f ca="1">RESULTADOS!CL38</f>
        <v>N/A</v>
      </c>
      <c r="DI21" s="111" t="str">
        <f ca="1">RESULTADOS!CM38</f>
        <v>N/A</v>
      </c>
      <c r="DJ21" s="111" t="str">
        <f ca="1">RESULTADOS!CN38</f>
        <v>N/A</v>
      </c>
      <c r="DK21" s="111" t="str">
        <f ca="1">RESULTADOS!CO38</f>
        <v>N/A</v>
      </c>
      <c r="DL21" s="111" t="str">
        <f ca="1">RESULTADOS!CP38</f>
        <v>N/A</v>
      </c>
      <c r="DM21" s="111" t="str">
        <f ca="1">RESULTADOS!CQ38</f>
        <v>N/A</v>
      </c>
      <c r="DN21" s="111" t="str">
        <f ca="1">RESULTADOS!CR38</f>
        <v>N/A</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ht="13">
      <c r="C22" s="109" t="s">
        <v>47</v>
      </c>
      <c r="D22" s="112" t="str">
        <f>'01.Definición de ámbito'!D52</f>
        <v>No</v>
      </c>
      <c r="T22" s="113">
        <f>RESULTADOS!B39</f>
        <v>20</v>
      </c>
      <c r="U22" s="113" t="str">
        <f>RESULTADOS!C39</f>
        <v>Declaracion Accesibilidad</v>
      </c>
      <c r="V22" s="113" t="str">
        <f t="shared" si="0"/>
        <v>Página web</v>
      </c>
      <c r="W22" s="113" t="str">
        <v>Declaración accesibilidad</v>
      </c>
      <c r="X22" s="113" t="str">
        <f>RESULTADOS!D39</f>
        <v>https://elecciones.comunidad.madrid/es/accesibilidad</v>
      </c>
      <c r="Y22" s="113" t="str">
        <v>Home &gt; Accesibilidad</v>
      </c>
      <c r="Z22" s="188" t="str">
        <v>Texto</v>
      </c>
      <c r="AA22" s="111" t="str">
        <f ca="1">RESULTADOS!E39</f>
        <v>Falla</v>
      </c>
      <c r="AB22" s="111" t="str">
        <f ca="1">RESULTADOS!F39</f>
        <v>N/A</v>
      </c>
      <c r="AC22" s="111" t="str">
        <f ca="1">RESULTADOS!G39</f>
        <v>N/A</v>
      </c>
      <c r="AD22" s="111" t="str">
        <f ca="1">RESULTADOS!H39</f>
        <v>N/A</v>
      </c>
      <c r="AE22" s="111" t="str">
        <f ca="1">RESULTADOS!I39</f>
        <v>N/A</v>
      </c>
      <c r="AF22" s="111" t="str">
        <f ca="1">RESULTADOS!J39</f>
        <v>N/A</v>
      </c>
      <c r="AG22" s="111" t="str">
        <f ca="1">RESULTADOS!K39</f>
        <v>N/A</v>
      </c>
      <c r="AH22" s="111" t="str">
        <f ca="1">RESULTADOS!L39</f>
        <v>N/A</v>
      </c>
      <c r="AI22" s="111" t="str">
        <f ca="1">RESULTADOS!M39</f>
        <v>N/A</v>
      </c>
      <c r="AJ22" s="111" t="str">
        <f ca="1">RESULTADOS!N39</f>
        <v>N/A</v>
      </c>
      <c r="AK22" s="111" t="str">
        <f ca="1">RESULTADOS!O39</f>
        <v>N/A</v>
      </c>
      <c r="AL22" s="111" t="str">
        <f ca="1">RESULTADOS!P39</f>
        <v>N/A</v>
      </c>
      <c r="AM22" s="111" t="str">
        <f ca="1">RESULTADOS!Q39</f>
        <v>N/A</v>
      </c>
      <c r="AN22" s="111" t="str">
        <f ca="1">RESULTADOS!R39</f>
        <v>N/A</v>
      </c>
      <c r="AO22" s="111" t="str">
        <f ca="1">RESULTADOS!S39</f>
        <v>N/A</v>
      </c>
      <c r="AP22" s="111" t="str">
        <f ca="1">RESULTADOS!T39</f>
        <v>N/A</v>
      </c>
      <c r="AQ22" s="111" t="str">
        <f ca="1">RESULTADOS!U39</f>
        <v>N/A</v>
      </c>
      <c r="AR22" s="111" t="str">
        <f ca="1">RESULTADOS!V39</f>
        <v>N/A</v>
      </c>
      <c r="AS22" s="111" t="str">
        <f ca="1">RESULTADOS!W39</f>
        <v>N/A</v>
      </c>
      <c r="AT22" s="111" t="str">
        <f ca="1">RESULTADOS!X39</f>
        <v>N/A</v>
      </c>
      <c r="AU22" s="111" t="str">
        <f ca="1">RESULTADOS!Y39</f>
        <v>N/A</v>
      </c>
      <c r="AV22" s="111" t="str">
        <f ca="1">RESULTADOS!Z39</f>
        <v>N/A</v>
      </c>
      <c r="AW22" s="111" t="str">
        <f ca="1">RESULTADOS!AA39</f>
        <v>N/A</v>
      </c>
      <c r="AX22" s="111" t="str">
        <f ca="1">RESULTADOS!AB39</f>
        <v>N/A</v>
      </c>
      <c r="AY22" s="111" t="str">
        <f ca="1">RESULTADOS!AC39</f>
        <v>N/A</v>
      </c>
      <c r="AZ22" s="111" t="str">
        <f ca="1">RESULTADOS!AD39</f>
        <v>N/A</v>
      </c>
      <c r="BA22" s="111" t="str">
        <f ca="1">RESULTADOS!AE39</f>
        <v>N/A</v>
      </c>
      <c r="BB22" s="111" t="str">
        <f ca="1">RESULTADOS!AF39</f>
        <v>N/A</v>
      </c>
      <c r="BC22" s="111" t="str">
        <f ca="1">RESULTADOS!AG39</f>
        <v>N/A</v>
      </c>
      <c r="BD22" s="111" t="str">
        <f ca="1">RESULTADOS!AH39</f>
        <v>N/A</v>
      </c>
      <c r="BE22" s="111" t="str">
        <f ca="1">RESULTADOS!AI39</f>
        <v>N/A</v>
      </c>
      <c r="BF22" s="111" t="str">
        <f ca="1">RESULTADOS!AJ39</f>
        <v>Pasa</v>
      </c>
      <c r="BG22" s="111" t="str">
        <f ca="1">RESULTADOS!AK39</f>
        <v>N/A</v>
      </c>
      <c r="BH22" s="111" t="str">
        <f ca="1">RESULTADOS!AL39</f>
        <v>N/A</v>
      </c>
      <c r="BI22" s="111" t="str">
        <f ca="1">RESULTADOS!AM39</f>
        <v>N/A</v>
      </c>
      <c r="BJ22" s="111" t="str">
        <f ca="1">RESULTADOS!AN39</f>
        <v>N/A</v>
      </c>
      <c r="BK22" s="111" t="str">
        <f ca="1">RESULTADOS!AO39</f>
        <v>Falla</v>
      </c>
      <c r="BL22" s="111" t="str">
        <f ca="1">RESULTADOS!AP39</f>
        <v>Falla</v>
      </c>
      <c r="BM22" s="111" t="str">
        <f ca="1">RESULTADOS!AQ39</f>
        <v>Falla</v>
      </c>
      <c r="BN22" s="111" t="str">
        <f ca="1">RESULTADOS!AR39</f>
        <v>Falla</v>
      </c>
      <c r="BO22" s="111" t="str">
        <f ca="1">RESULTADOS!AS39</f>
        <v>N/A</v>
      </c>
      <c r="BP22" s="111" t="str">
        <f ca="1">RESULTADOS!AT39</f>
        <v>Pasa</v>
      </c>
      <c r="BQ22" s="111" t="str">
        <f ca="1">RESULTADOS!AU39</f>
        <v>N/A</v>
      </c>
      <c r="BR22" s="111" t="str">
        <f ca="1">RESULTADOS!AV39</f>
        <v>Pasa</v>
      </c>
      <c r="BS22" s="111" t="str">
        <f ca="1">RESULTADOS!AW39</f>
        <v>Falla</v>
      </c>
      <c r="BT22" s="111" t="str">
        <f ca="1">RESULTADOS!AX39</f>
        <v>N/A</v>
      </c>
      <c r="BU22" s="111" t="str">
        <f ca="1">RESULTADOS!AY39</f>
        <v>Falla</v>
      </c>
      <c r="BV22" s="111" t="str">
        <f ca="1">RESULTADOS!AZ39</f>
        <v>Falla</v>
      </c>
      <c r="BW22" s="111" t="str">
        <f ca="1">RESULTADOS!BA39</f>
        <v>Pasa</v>
      </c>
      <c r="BX22" s="111" t="str">
        <f ca="1">RESULTADOS!BB39</f>
        <v>Falla</v>
      </c>
      <c r="BY22" s="111" t="str">
        <f ca="1">RESULTADOS!BC39</f>
        <v>Falla</v>
      </c>
      <c r="BZ22" s="111" t="str">
        <f ca="1">RESULTADOS!BD39</f>
        <v>Pasa</v>
      </c>
      <c r="CA22" s="111" t="str">
        <f ca="1">RESULTADOS!BE39</f>
        <v>N/A</v>
      </c>
      <c r="CB22" s="111" t="str">
        <f ca="1">RESULTADOS!BF39</f>
        <v>Pasa</v>
      </c>
      <c r="CC22" s="111" t="str">
        <f ca="1">RESULTADOS!BG39</f>
        <v>N/A</v>
      </c>
      <c r="CD22" s="111" t="str">
        <f ca="1">RESULTADOS!BH39</f>
        <v>N/A</v>
      </c>
      <c r="CE22" s="111" t="str">
        <f ca="1">RESULTADOS!BI39</f>
        <v>Pasa</v>
      </c>
      <c r="CF22" s="111" t="str">
        <f ca="1">RESULTADOS!BJ39</f>
        <v>Pasa</v>
      </c>
      <c r="CG22" s="111" t="str">
        <f ca="1">RESULTADOS!BK39</f>
        <v>Falla</v>
      </c>
      <c r="CH22" s="111" t="str">
        <f ca="1">RESULTADOS!BL39</f>
        <v>Falla</v>
      </c>
      <c r="CI22" s="111" t="str">
        <f ca="1">RESULTADOS!BM39</f>
        <v>Pasa</v>
      </c>
      <c r="CJ22" s="111" t="str">
        <f ca="1">RESULTADOS!BN39</f>
        <v>Pasa</v>
      </c>
      <c r="CK22" s="111" t="str">
        <f ca="1">RESULTADOS!BO39</f>
        <v>Falla</v>
      </c>
      <c r="CL22" s="111" t="str">
        <f ca="1">RESULTADOS!BP39</f>
        <v>N/A</v>
      </c>
      <c r="CM22" s="111" t="str">
        <f ca="1">RESULTADOS!BQ39</f>
        <v>Pasa</v>
      </c>
      <c r="CN22" s="111" t="str">
        <f ca="1">RESULTADOS!BR39</f>
        <v>Falla</v>
      </c>
      <c r="CO22" s="111" t="str">
        <f ca="1">RESULTADOS!BS39</f>
        <v>N/A</v>
      </c>
      <c r="CP22" s="111" t="str">
        <f ca="1">RESULTADOS!BT39</f>
        <v>Pasa</v>
      </c>
      <c r="CQ22" s="111" t="str">
        <f ca="1">RESULTADOS!BU39</f>
        <v>N/A</v>
      </c>
      <c r="CR22" s="111" t="str">
        <f ca="1">RESULTADOS!BV39</f>
        <v>Pasa</v>
      </c>
      <c r="CS22" s="111" t="str">
        <f ca="1">RESULTADOS!BW39</f>
        <v>Pasa</v>
      </c>
      <c r="CT22" s="111" t="str">
        <f ca="1">RESULTADOS!BX39</f>
        <v>Pasa</v>
      </c>
      <c r="CU22" s="111" t="str">
        <f ca="1">RESULTADOS!BY39</f>
        <v>Pasa</v>
      </c>
      <c r="CV22" s="111" t="str">
        <f ca="1">RESULTADOS!BZ39</f>
        <v>N/A</v>
      </c>
      <c r="CW22" s="111" t="str">
        <f ca="1">RESULTADOS!CA39</f>
        <v>Pasa</v>
      </c>
      <c r="CX22" s="111" t="str">
        <f ca="1">RESULTADOS!CB39</f>
        <v>N/A</v>
      </c>
      <c r="CY22" s="111" t="str">
        <f ca="1">RESULTADOS!CC39</f>
        <v>N/A</v>
      </c>
      <c r="CZ22" s="111" t="str">
        <f ca="1">RESULTADOS!CD39</f>
        <v>N/A</v>
      </c>
      <c r="DA22" s="111" t="str">
        <f ca="1">RESULTADOS!CE39</f>
        <v>Pasa</v>
      </c>
      <c r="DB22" s="111" t="str">
        <f ca="1">RESULTADOS!CF39</f>
        <v>N/A</v>
      </c>
      <c r="DC22" s="111" t="str">
        <f ca="1">RESULTADOS!CG39</f>
        <v>Falla</v>
      </c>
      <c r="DD22" s="111" t="str">
        <f ca="1">RESULTADOS!CH39</f>
        <v>Falla</v>
      </c>
      <c r="DE22" s="111" t="str">
        <f ca="1">RESULTADOS!CI39</f>
        <v>N/A</v>
      </c>
      <c r="DF22" s="111" t="str">
        <f ca="1">RESULTADOS!CJ39</f>
        <v>N/A</v>
      </c>
      <c r="DG22" s="111" t="str">
        <f ca="1">RESULTADOS!CK39</f>
        <v>N/A</v>
      </c>
      <c r="DH22" s="111" t="str">
        <f ca="1">RESULTADOS!CL39</f>
        <v>N/A</v>
      </c>
      <c r="DI22" s="111" t="str">
        <f ca="1">RESULTADOS!CM39</f>
        <v>N/A</v>
      </c>
      <c r="DJ22" s="111" t="str">
        <f ca="1">RESULTADOS!CN39</f>
        <v>Falla</v>
      </c>
      <c r="DK22" s="111" t="str">
        <f ca="1">RESULTADOS!CO39</f>
        <v>Falla</v>
      </c>
      <c r="DL22" s="111" t="str">
        <f ca="1">RESULTADOS!CP39</f>
        <v>Falla</v>
      </c>
      <c r="DM22" s="111" t="str">
        <f ca="1">RESULTADOS!CQ39</f>
        <v>Pasa</v>
      </c>
      <c r="DN22" s="111" t="str">
        <f ca="1">RESULTADOS!CR39</f>
        <v>Falla</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ht="13">
      <c r="C23" s="109" t="s">
        <v>48</v>
      </c>
      <c r="D23" s="112" t="str">
        <f>'01.Definición de ámbito'!D53</f>
        <v>No</v>
      </c>
      <c r="K23" t="s">
        <v>548</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ht="13">
      <c r="C24" s="109" t="s">
        <v>49</v>
      </c>
      <c r="D24" s="112" t="str">
        <f>'01.Definición de ámbito'!D54</f>
        <v>No</v>
      </c>
      <c r="K24" t="s">
        <v>175</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ht="13">
      <c r="C25" s="109" t="s">
        <v>50</v>
      </c>
      <c r="D25" s="112" t="str">
        <f>'01.Definición de ámbito'!D55</f>
        <v>No</v>
      </c>
      <c r="K25" t="s">
        <v>177</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ht="13">
      <c r="C26" s="109" t="s">
        <v>51</v>
      </c>
      <c r="D26" s="112" t="str">
        <f>'01.Definición de ámbito'!D56</f>
        <v>No</v>
      </c>
      <c r="K26" t="s">
        <v>348</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ht="13">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ht="13">
      <c r="C28" s="109"/>
      <c r="K28" t="s">
        <v>549</v>
      </c>
      <c r="L28" s="114" t="str">
        <f ca="1">RESULTADOS!D14</f>
        <v>No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ht="13">
      <c r="C29" s="109" t="s">
        <v>52</v>
      </c>
      <c r="D29" s="112" t="str">
        <f>'01.Definición de ámbito'!C58</f>
        <v>Autoevaluación con recursos externos</v>
      </c>
      <c r="K29" t="s">
        <v>550</v>
      </c>
      <c r="L29" s="115">
        <f ca="1">RESULTADOS!F14</f>
        <v>4.4000000000000004</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54</v>
      </c>
      <c r="D30" s="112" t="str">
        <f>'01.Definición de ámbito'!C60</f>
        <v>Madrid Digital</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56</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ht="13">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ht="13">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abSelected="1" topLeftCell="A3" zoomScale="85" zoomScaleNormal="85" workbookViewId="0">
      <selection activeCell="A21" sqref="A21"/>
    </sheetView>
  </sheetViews>
  <sheetFormatPr baseColWidth="10" defaultColWidth="11.54296875" defaultRowHeight="12.5"/>
  <cols>
    <col min="1" max="1" width="11.54296875" style="14"/>
    <col min="2" max="2" width="79.90625" style="14" customWidth="1"/>
    <col min="3" max="3" width="126.453125" style="14" customWidth="1"/>
    <col min="4" max="4" width="8.08984375" style="14" customWidth="1"/>
    <col min="5" max="5" width="16" style="14" customWidth="1"/>
    <col min="6" max="11" width="9.08984375" style="14" customWidth="1"/>
    <col min="12" max="12" width="23.08984375" style="14" customWidth="1"/>
    <col min="13" max="13" width="4" style="14" customWidth="1"/>
    <col min="14" max="19" width="9.08984375" style="14" customWidth="1"/>
    <col min="20" max="20" width="20" style="14" customWidth="1"/>
    <col min="21" max="23" width="9.08984375" style="14" customWidth="1"/>
    <col min="24" max="26" width="8.6328125" style="14" customWidth="1"/>
    <col min="27" max="64" width="14.453125" style="14" customWidth="1"/>
    <col min="65" max="16384" width="11.5429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4"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75" customHeight="1">
      <c r="A3" s="1"/>
      <c r="B3" s="46" t="s">
        <v>2</v>
      </c>
      <c r="C3" s="18"/>
      <c r="D3" s="215" t="s">
        <v>12</v>
      </c>
      <c r="E3" s="216"/>
      <c r="F3" s="18"/>
      <c r="G3" s="18"/>
      <c r="H3" s="18"/>
      <c r="I3" s="18"/>
      <c r="J3" s="18"/>
      <c r="K3" s="18"/>
      <c r="L3" s="18"/>
      <c r="M3" s="18"/>
      <c r="N3" s="18"/>
      <c r="O3" s="18"/>
      <c r="P3" s="18"/>
      <c r="Q3" s="18"/>
      <c r="R3" s="18"/>
      <c r="S3" s="18"/>
      <c r="T3" s="18"/>
      <c r="U3" s="18"/>
      <c r="V3" s="18"/>
      <c r="W3" s="18"/>
      <c r="X3" s="18"/>
      <c r="Y3" s="18"/>
      <c r="Z3" s="18"/>
    </row>
    <row r="4" spans="1:64" ht="16.649999999999999"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4"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6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25" customHeight="1">
      <c r="B7" s="13" t="s">
        <v>14</v>
      </c>
      <c r="C7" s="61" t="s">
        <v>551</v>
      </c>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25" customHeight="1">
      <c r="B9" s="13" t="s">
        <v>15</v>
      </c>
      <c r="C9" s="61" t="s">
        <v>552</v>
      </c>
      <c r="D9" s="18"/>
      <c r="E9" s="18"/>
      <c r="F9" s="18"/>
      <c r="G9" s="18"/>
      <c r="H9" s="18"/>
      <c r="I9" s="18"/>
      <c r="J9" s="18"/>
      <c r="K9" s="18"/>
      <c r="L9" s="18"/>
      <c r="M9" s="18"/>
      <c r="N9" s="18"/>
      <c r="O9" s="18"/>
      <c r="P9" s="18"/>
      <c r="Q9" s="18"/>
      <c r="R9" s="18"/>
      <c r="S9" s="18"/>
      <c r="T9" s="18"/>
      <c r="U9" s="18"/>
      <c r="V9" s="18"/>
      <c r="W9" s="18"/>
      <c r="X9" s="18"/>
      <c r="Y9" s="18"/>
      <c r="Z9" s="18"/>
    </row>
    <row r="10" spans="1:64" ht="10.6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25" customHeight="1">
      <c r="B11" s="13" t="s">
        <v>16</v>
      </c>
      <c r="C11" s="61" t="s">
        <v>553</v>
      </c>
      <c r="D11" s="18"/>
      <c r="E11" s="18"/>
      <c r="F11" s="18"/>
      <c r="G11" s="18"/>
      <c r="H11" s="18"/>
      <c r="I11" s="18"/>
      <c r="J11" s="18"/>
      <c r="K11" s="18"/>
      <c r="L11" s="18"/>
      <c r="M11" s="18"/>
      <c r="N11" s="18"/>
      <c r="O11" s="18"/>
      <c r="P11" s="18"/>
      <c r="Q11" s="18"/>
      <c r="R11" s="18"/>
      <c r="S11" s="18"/>
      <c r="T11" s="18"/>
      <c r="U11" s="18"/>
      <c r="V11" s="18"/>
      <c r="W11" s="18"/>
      <c r="X11" s="18"/>
      <c r="Y11" s="18"/>
      <c r="Z11" s="18"/>
    </row>
    <row r="12" spans="1:64" ht="12.9"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25" customHeight="1">
      <c r="B13" s="13" t="s">
        <v>17</v>
      </c>
      <c r="C13" s="61" t="s">
        <v>554</v>
      </c>
      <c r="D13" s="18"/>
      <c r="E13" s="18"/>
      <c r="F13" s="18"/>
      <c r="G13" s="18"/>
      <c r="H13" s="18"/>
      <c r="I13" s="18"/>
      <c r="J13" s="18"/>
      <c r="K13" s="18"/>
      <c r="L13" s="18"/>
      <c r="M13" s="18"/>
      <c r="N13" s="18"/>
      <c r="O13" s="18"/>
      <c r="P13" s="18"/>
      <c r="Q13" s="18"/>
      <c r="R13" s="18"/>
      <c r="S13" s="18"/>
      <c r="T13" s="18"/>
      <c r="U13" s="18"/>
      <c r="V13" s="18"/>
      <c r="W13" s="18"/>
      <c r="X13" s="18"/>
      <c r="Y13" s="18"/>
      <c r="Z13" s="18"/>
    </row>
    <row r="14" spans="1:64" ht="10.6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4"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25" customHeight="1">
      <c r="B17" s="13" t="s">
        <v>18</v>
      </c>
      <c r="C17" s="61" t="s">
        <v>555</v>
      </c>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25" customHeight="1">
      <c r="B19" s="13" t="s">
        <v>19</v>
      </c>
      <c r="C19" s="61" t="s">
        <v>556</v>
      </c>
      <c r="D19" s="18"/>
      <c r="E19" s="18"/>
      <c r="F19" s="18"/>
      <c r="G19" s="18"/>
      <c r="H19" s="18"/>
      <c r="I19" s="18"/>
      <c r="J19" s="18"/>
      <c r="K19" s="18"/>
      <c r="L19" s="18"/>
      <c r="M19" s="18"/>
      <c r="N19" s="18"/>
      <c r="O19" s="18"/>
      <c r="P19" s="18"/>
      <c r="Q19" s="18"/>
      <c r="R19" s="18"/>
      <c r="S19" s="18"/>
      <c r="T19" s="18"/>
      <c r="U19" s="18"/>
      <c r="V19" s="18"/>
      <c r="W19" s="18"/>
      <c r="X19" s="18"/>
      <c r="Y19" s="18"/>
      <c r="Z19" s="18"/>
    </row>
    <row r="20" spans="1:26" ht="10.6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25" customHeight="1">
      <c r="B21" s="13" t="s">
        <v>20</v>
      </c>
      <c r="C21" s="61" t="s">
        <v>557</v>
      </c>
      <c r="D21" s="18"/>
      <c r="E21" s="18"/>
      <c r="F21" s="18"/>
      <c r="G21" s="18"/>
      <c r="H21" s="18"/>
      <c r="I21" s="18"/>
      <c r="J21" s="18"/>
      <c r="K21" s="18"/>
      <c r="L21" s="18"/>
      <c r="M21" s="18"/>
      <c r="N21" s="18"/>
      <c r="O21" s="18"/>
      <c r="P21" s="18"/>
      <c r="Q21" s="18"/>
      <c r="R21" s="18"/>
      <c r="S21" s="18"/>
      <c r="T21" s="18"/>
      <c r="U21" s="18"/>
      <c r="V21" s="18"/>
      <c r="W21" s="18"/>
      <c r="X21" s="18"/>
      <c r="Y21" s="18"/>
      <c r="Z21" s="18"/>
    </row>
    <row r="22" spans="1:26" ht="14.15"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4"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6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25" customHeight="1">
      <c r="B25" s="13" t="s">
        <v>21</v>
      </c>
      <c r="C25" s="61" t="s">
        <v>22</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6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25" customHeight="1">
      <c r="B27" s="13" t="s">
        <v>23</v>
      </c>
      <c r="C27" s="61" t="s">
        <v>24</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25"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25" customHeight="1">
      <c r="B29" s="13" t="s">
        <v>25</v>
      </c>
      <c r="C29" s="61" t="s">
        <v>26</v>
      </c>
      <c r="D29" s="98"/>
      <c r="E29" s="98"/>
      <c r="F29" s="98"/>
      <c r="G29" s="98"/>
      <c r="H29" s="98"/>
      <c r="I29" s="98"/>
      <c r="J29" s="98"/>
      <c r="K29" s="98"/>
      <c r="L29" s="98"/>
      <c r="M29" s="98"/>
      <c r="N29" s="18"/>
      <c r="O29" s="18"/>
      <c r="P29" s="18"/>
      <c r="Q29" s="18"/>
      <c r="R29" s="18"/>
      <c r="S29" s="18"/>
      <c r="V29" s="18"/>
      <c r="W29" s="18"/>
      <c r="X29" s="18"/>
      <c r="Y29" s="18"/>
      <c r="Z29" s="18"/>
    </row>
    <row r="30" spans="1:26" ht="13.25"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25" customHeight="1">
      <c r="B31" s="13" t="s">
        <v>27</v>
      </c>
      <c r="C31" s="61" t="s">
        <v>28</v>
      </c>
      <c r="D31" s="98"/>
      <c r="E31" s="98"/>
      <c r="F31" s="98"/>
      <c r="G31" s="98"/>
      <c r="H31" s="98"/>
      <c r="I31" s="98"/>
      <c r="J31" s="98"/>
      <c r="K31" s="98"/>
      <c r="L31" s="98"/>
      <c r="M31" s="98"/>
      <c r="N31" s="18"/>
      <c r="O31" s="18"/>
      <c r="P31" s="18"/>
      <c r="Q31" s="18"/>
      <c r="R31" s="18"/>
      <c r="S31" s="18"/>
      <c r="V31" s="18"/>
      <c r="W31" s="18"/>
      <c r="X31" s="18"/>
      <c r="Y31" s="18"/>
      <c r="Z31" s="18"/>
    </row>
    <row r="32" spans="1:26" ht="10.6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29</v>
      </c>
      <c r="C33" s="61" t="s">
        <v>30</v>
      </c>
    </row>
    <row r="34" spans="2:26" ht="10.6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31</v>
      </c>
      <c r="C35" s="210">
        <v>45901</v>
      </c>
      <c r="D35" s="98"/>
      <c r="E35" s="98"/>
      <c r="F35" s="98"/>
      <c r="G35" s="98"/>
      <c r="H35" s="98"/>
      <c r="I35" s="98"/>
      <c r="J35" s="98"/>
      <c r="K35" s="98"/>
      <c r="L35" s="98"/>
      <c r="M35" s="98"/>
    </row>
    <row r="36" spans="2:26" ht="11.4" customHeight="1">
      <c r="B36" s="13"/>
      <c r="C36" s="13"/>
    </row>
    <row r="37" spans="2:26" ht="14.15" customHeight="1">
      <c r="B37" s="97"/>
      <c r="C37" s="97"/>
      <c r="D37" s="18"/>
      <c r="E37" s="18"/>
      <c r="F37" s="18"/>
      <c r="G37" s="18"/>
      <c r="H37" s="18"/>
      <c r="I37" s="18"/>
      <c r="J37" s="18"/>
      <c r="K37" s="18"/>
      <c r="L37" s="18"/>
      <c r="M37" s="18"/>
      <c r="N37" s="18"/>
    </row>
    <row r="38" spans="2:26" ht="10.6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25" customHeight="1">
      <c r="B39" s="13" t="s">
        <v>32</v>
      </c>
      <c r="C39" s="144" t="s">
        <v>33</v>
      </c>
      <c r="D39" s="36"/>
      <c r="E39" s="18"/>
      <c r="F39" s="18"/>
      <c r="G39" s="18"/>
      <c r="H39" s="18"/>
      <c r="I39" s="18"/>
      <c r="J39" s="18"/>
      <c r="K39" s="18"/>
      <c r="L39" s="18"/>
      <c r="M39" s="18"/>
      <c r="N39" s="18"/>
      <c r="O39" s="18"/>
      <c r="Q39" s="18"/>
      <c r="R39" s="18"/>
      <c r="S39" s="18"/>
      <c r="U39" s="18"/>
      <c r="V39" s="18"/>
      <c r="W39" s="18"/>
      <c r="X39" s="18"/>
      <c r="Y39" s="18"/>
      <c r="Z39" s="18"/>
    </row>
    <row r="40" spans="2:26" ht="10.6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34</v>
      </c>
      <c r="C41" s="64" t="s">
        <v>35</v>
      </c>
      <c r="D41" s="18"/>
      <c r="E41" s="18"/>
      <c r="F41" s="18"/>
      <c r="G41" s="18"/>
      <c r="H41" s="18"/>
      <c r="I41" s="18"/>
      <c r="J41" s="18"/>
      <c r="K41" s="18"/>
      <c r="L41" s="18"/>
      <c r="M41" s="18"/>
      <c r="N41" s="18"/>
      <c r="O41" s="18"/>
      <c r="Q41" s="18"/>
      <c r="R41" s="18"/>
      <c r="S41" s="18"/>
      <c r="U41" s="18"/>
      <c r="V41" s="18"/>
      <c r="W41" s="18"/>
      <c r="X41" s="18"/>
      <c r="Y41" s="18"/>
      <c r="Z41" s="18"/>
    </row>
    <row r="42" spans="2:26" ht="10.6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6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25" customHeight="1">
      <c r="B45" s="13" t="s">
        <v>36</v>
      </c>
      <c r="C45" s="61" t="s">
        <v>37</v>
      </c>
      <c r="D45" s="36" t="s">
        <v>38</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39</v>
      </c>
      <c r="C47" s="117" t="s">
        <v>40</v>
      </c>
      <c r="D47" s="116" t="s">
        <v>41</v>
      </c>
      <c r="M47" s="18"/>
      <c r="N47" s="18"/>
      <c r="O47" s="18"/>
      <c r="Q47" s="18"/>
      <c r="R47" s="18"/>
      <c r="S47" s="18"/>
      <c r="U47" s="18"/>
      <c r="V47" s="18"/>
      <c r="W47" s="18"/>
      <c r="X47" s="18"/>
      <c r="Y47" s="18"/>
      <c r="Z47" s="18"/>
    </row>
    <row r="48" spans="2:26" ht="14.9" customHeight="1">
      <c r="C48" s="27" t="s">
        <v>42</v>
      </c>
      <c r="D48" s="19" t="s">
        <v>43</v>
      </c>
      <c r="G48" s="62"/>
    </row>
    <row r="49" spans="2:26" ht="14.9" customHeight="1">
      <c r="C49" s="27" t="s">
        <v>44</v>
      </c>
      <c r="D49" s="19" t="s">
        <v>43</v>
      </c>
      <c r="G49" s="62"/>
    </row>
    <row r="50" spans="2:26" ht="14.9" customHeight="1">
      <c r="C50" s="27" t="s">
        <v>45</v>
      </c>
      <c r="D50" s="19" t="s">
        <v>43</v>
      </c>
      <c r="G50" s="62"/>
    </row>
    <row r="51" spans="2:26" ht="14.9" customHeight="1">
      <c r="C51" s="27" t="s">
        <v>46</v>
      </c>
      <c r="D51" s="19" t="s">
        <v>43</v>
      </c>
      <c r="G51" s="62"/>
    </row>
    <row r="52" spans="2:26" ht="14.9" customHeight="1">
      <c r="C52" s="27" t="s">
        <v>47</v>
      </c>
      <c r="D52" s="19" t="s">
        <v>43</v>
      </c>
      <c r="G52" s="62"/>
    </row>
    <row r="53" spans="2:26" ht="14.9" customHeight="1">
      <c r="C53" s="27" t="s">
        <v>48</v>
      </c>
      <c r="D53" s="19" t="s">
        <v>43</v>
      </c>
      <c r="G53" s="62"/>
    </row>
    <row r="54" spans="2:26" ht="14.9" customHeight="1">
      <c r="C54" s="27" t="s">
        <v>49</v>
      </c>
      <c r="D54" s="19" t="s">
        <v>43</v>
      </c>
      <c r="G54" s="62"/>
    </row>
    <row r="55" spans="2:26" ht="14.9" customHeight="1">
      <c r="C55" s="27" t="s">
        <v>50</v>
      </c>
      <c r="D55" s="19" t="s">
        <v>43</v>
      </c>
      <c r="G55" s="62"/>
    </row>
    <row r="56" spans="2:26" ht="14.9" customHeight="1">
      <c r="C56" s="27" t="s">
        <v>51</v>
      </c>
      <c r="D56" s="19" t="s">
        <v>43</v>
      </c>
      <c r="G56" s="62"/>
    </row>
    <row r="57" spans="2:26" ht="13.25"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25" customHeight="1">
      <c r="B58" s="13" t="s">
        <v>52</v>
      </c>
      <c r="C58" s="61" t="s">
        <v>53</v>
      </c>
      <c r="D58" s="36"/>
      <c r="E58" s="18"/>
      <c r="F58" s="18"/>
      <c r="G58" s="18"/>
      <c r="H58" s="18"/>
      <c r="I58" s="18"/>
      <c r="J58" s="18"/>
      <c r="K58" s="18"/>
      <c r="L58" s="18"/>
      <c r="M58" s="18"/>
      <c r="N58" s="18"/>
      <c r="O58" s="18"/>
      <c r="P58" s="18"/>
      <c r="Q58" s="18"/>
      <c r="R58" s="18"/>
      <c r="S58" s="18"/>
      <c r="U58" s="18"/>
      <c r="V58" s="18"/>
      <c r="W58" s="18"/>
      <c r="X58" s="18"/>
      <c r="Y58" s="18"/>
      <c r="Z58" s="18"/>
    </row>
    <row r="59" spans="2:26" ht="10.6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25" customHeight="1">
      <c r="B60" s="13" t="s">
        <v>54</v>
      </c>
      <c r="C60" s="61" t="s">
        <v>55</v>
      </c>
      <c r="D60" s="36"/>
      <c r="E60" s="18"/>
      <c r="F60" s="18"/>
      <c r="G60" s="18"/>
      <c r="H60" s="18"/>
      <c r="I60" s="18"/>
      <c r="J60" s="18"/>
      <c r="K60" s="18"/>
      <c r="L60" s="18"/>
      <c r="M60" s="18"/>
      <c r="N60" s="18"/>
      <c r="O60" s="18"/>
      <c r="P60" s="18"/>
      <c r="Q60" s="18"/>
      <c r="R60" s="18"/>
      <c r="S60" s="18"/>
      <c r="U60" s="18"/>
      <c r="V60" s="18"/>
      <c r="W60" s="18"/>
      <c r="X60" s="18"/>
      <c r="Y60" s="18"/>
      <c r="Z60" s="18"/>
    </row>
    <row r="61" spans="2:26" ht="10.6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25" customHeight="1">
      <c r="B62" s="13" t="s">
        <v>56</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399999999999999"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5" zoomScaleNormal="85" workbookViewId="0">
      <selection activeCell="I18" sqref="I18"/>
    </sheetView>
  </sheetViews>
  <sheetFormatPr baseColWidth="10" defaultColWidth="11.54296875" defaultRowHeight="12.5"/>
  <cols>
    <col min="1" max="1" width="11.54296875" style="148"/>
    <col min="2" max="2" width="14" style="148" customWidth="1"/>
    <col min="3" max="3" width="8.6328125" style="148" customWidth="1"/>
    <col min="4" max="4" width="9.453125" style="148" customWidth="1"/>
    <col min="5" max="5" width="14.453125" style="148" customWidth="1"/>
    <col min="6" max="6" width="8.54296875" style="148" customWidth="1"/>
    <col min="7" max="7" width="11.54296875" style="148"/>
    <col min="8" max="8" width="12" style="148" customWidth="1"/>
    <col min="9" max="9" width="8.6328125" style="148" customWidth="1"/>
    <col min="10" max="10" width="11.54296875" style="148"/>
    <col min="11" max="11" width="19.54296875" style="148" customWidth="1"/>
    <col min="12" max="12" width="40.6328125" style="148" customWidth="1"/>
    <col min="13" max="16384" width="11.5429687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4"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75"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649999999999999"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4" customHeight="1">
      <c r="B5" s="152" t="s">
        <v>57</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7.9" customHeight="1" thickBot="1">
      <c r="B6" s="217" t="s">
        <v>58</v>
      </c>
      <c r="C6" s="217"/>
      <c r="D6" s="217"/>
      <c r="E6" s="217"/>
      <c r="F6" s="217"/>
      <c r="G6" s="217"/>
      <c r="H6" s="217"/>
      <c r="I6" s="217"/>
      <c r="J6" s="217"/>
      <c r="K6" s="217"/>
      <c r="L6" s="217"/>
    </row>
    <row r="7" spans="1:60" ht="33.15" customHeight="1" thickTop="1">
      <c r="B7" s="218" t="s">
        <v>59</v>
      </c>
      <c r="C7" s="218"/>
      <c r="D7" s="218"/>
      <c r="E7" s="218"/>
      <c r="F7" s="218"/>
      <c r="G7" s="218"/>
      <c r="H7" s="218"/>
      <c r="I7" s="218"/>
      <c r="J7" s="218"/>
      <c r="K7" s="218"/>
      <c r="L7" s="218"/>
    </row>
    <row r="8" spans="1:60" ht="21.65" customHeight="1"/>
    <row r="9" spans="1:60" ht="17.149999999999999" customHeight="1">
      <c r="B9" s="156" t="s">
        <v>60</v>
      </c>
      <c r="C9" s="157" t="s">
        <v>61</v>
      </c>
      <c r="E9" s="156" t="s">
        <v>62</v>
      </c>
      <c r="F9" s="157" t="s">
        <v>43</v>
      </c>
      <c r="H9" s="156" t="s">
        <v>63</v>
      </c>
      <c r="I9" s="157" t="s">
        <v>43</v>
      </c>
    </row>
    <row r="10" spans="1:60" ht="17.149999999999999" customHeight="1">
      <c r="B10" s="156" t="s">
        <v>64</v>
      </c>
      <c r="C10" s="157" t="s">
        <v>43</v>
      </c>
      <c r="E10" s="156" t="s">
        <v>65</v>
      </c>
      <c r="F10" s="157" t="s">
        <v>43</v>
      </c>
      <c r="H10" s="156" t="s">
        <v>66</v>
      </c>
      <c r="I10" s="157" t="s">
        <v>43</v>
      </c>
    </row>
    <row r="11" spans="1:60" ht="17.149999999999999" customHeight="1">
      <c r="B11" s="156" t="s">
        <v>67</v>
      </c>
      <c r="C11" s="157" t="s">
        <v>43</v>
      </c>
      <c r="E11" s="156" t="s">
        <v>68</v>
      </c>
      <c r="F11" s="157" t="s">
        <v>43</v>
      </c>
      <c r="H11" s="156" t="s">
        <v>69</v>
      </c>
      <c r="I11" s="157" t="s">
        <v>43</v>
      </c>
    </row>
    <row r="12" spans="1:60" ht="17.149999999999999" customHeight="1">
      <c r="B12" s="156" t="s">
        <v>70</v>
      </c>
      <c r="C12" s="157" t="s">
        <v>61</v>
      </c>
      <c r="E12" s="156" t="s">
        <v>71</v>
      </c>
      <c r="F12" s="157" t="s">
        <v>43</v>
      </c>
      <c r="H12" s="156" t="s">
        <v>72</v>
      </c>
      <c r="I12" s="157" t="s">
        <v>61</v>
      </c>
      <c r="K12" s="158" t="s">
        <v>73</v>
      </c>
      <c r="L12" s="158" t="s">
        <v>74</v>
      </c>
    </row>
    <row r="13" spans="1:60" ht="17.149999999999999" customHeight="1">
      <c r="B13" s="156" t="s">
        <v>75</v>
      </c>
      <c r="C13" s="157" t="s">
        <v>61</v>
      </c>
      <c r="E13" s="156" t="s">
        <v>76</v>
      </c>
      <c r="F13" s="157" t="s">
        <v>43</v>
      </c>
      <c r="K13" s="159" t="s">
        <v>77</v>
      </c>
      <c r="L13" s="159" t="s">
        <v>78</v>
      </c>
    </row>
    <row r="14" spans="1:60" ht="17.149999999999999" customHeight="1">
      <c r="K14" s="159"/>
      <c r="L14" s="159"/>
    </row>
    <row r="15" spans="1:60" ht="17.149999999999999" customHeight="1">
      <c r="K15" s="159"/>
      <c r="L15" s="159"/>
    </row>
    <row r="16" spans="1:60" ht="17.149999999999999" customHeight="1">
      <c r="K16" s="159"/>
      <c r="L16" s="159"/>
    </row>
    <row r="17" spans="3:12">
      <c r="C17" s="219" t="s">
        <v>79</v>
      </c>
      <c r="D17" s="220"/>
      <c r="E17" s="220"/>
      <c r="F17" s="220"/>
      <c r="G17" s="221"/>
      <c r="K17" s="159"/>
      <c r="L17" s="159"/>
    </row>
    <row r="18" spans="3:12">
      <c r="C18" s="222"/>
      <c r="D18" s="223"/>
      <c r="E18" s="223"/>
      <c r="F18" s="223"/>
      <c r="G18" s="224"/>
      <c r="K18" s="159"/>
      <c r="L18" s="159"/>
    </row>
    <row r="19" spans="3:12">
      <c r="C19" s="225"/>
      <c r="D19" s="226"/>
      <c r="E19" s="226"/>
      <c r="F19" s="226"/>
      <c r="G19" s="227"/>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zoomScale="80" zoomScaleNormal="80" workbookViewId="0">
      <selection activeCell="F18" sqref="F18"/>
    </sheetView>
  </sheetViews>
  <sheetFormatPr baseColWidth="10" defaultColWidth="11.54296875" defaultRowHeight="12.5"/>
  <cols>
    <col min="1" max="1" width="11.6328125" style="14" customWidth="1"/>
    <col min="2" max="2" width="9.54296875" style="14" customWidth="1"/>
    <col min="3" max="3" width="27.36328125" style="14" customWidth="1"/>
    <col min="4" max="4" width="19.08984375" style="14" customWidth="1"/>
    <col min="5" max="5" width="27.54296875" style="14" bestFit="1" customWidth="1"/>
    <col min="6" max="6" width="72.54296875" style="14" customWidth="1"/>
    <col min="7" max="7" width="64.6328125" style="14" customWidth="1"/>
    <col min="8" max="8" width="134.453125" style="14" customWidth="1"/>
    <col min="9" max="24" width="8.6328125" style="14" customWidth="1"/>
    <col min="25" max="64" width="14.453125" style="14" customWidth="1"/>
    <col min="65" max="16384" width="11.5429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4"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75"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649999999999999"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4" customHeight="1">
      <c r="B5" s="228" t="s">
        <v>80</v>
      </c>
      <c r="C5" s="228"/>
      <c r="D5" s="228"/>
      <c r="E5" s="228"/>
      <c r="F5" s="228"/>
      <c r="G5" s="228"/>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899999999999999" customHeight="1">
      <c r="A6" s="50"/>
      <c r="B6" s="50"/>
      <c r="C6" s="50"/>
      <c r="D6" s="50"/>
      <c r="E6" s="50"/>
      <c r="F6" s="18"/>
      <c r="G6" s="18"/>
      <c r="H6" s="18"/>
      <c r="I6" s="18"/>
      <c r="J6" s="18"/>
      <c r="K6" s="18"/>
      <c r="L6" s="18"/>
      <c r="M6" s="18"/>
      <c r="N6" s="18"/>
      <c r="O6" s="18"/>
      <c r="P6" s="18"/>
      <c r="Q6" s="18"/>
      <c r="R6" s="18"/>
      <c r="S6" s="18"/>
      <c r="T6" s="18"/>
      <c r="U6" s="18"/>
      <c r="V6" s="18"/>
      <c r="W6" s="18"/>
      <c r="X6" s="18"/>
    </row>
    <row r="7" spans="1:64" ht="18.149999999999999" customHeight="1">
      <c r="B7" s="104" t="s">
        <v>81</v>
      </c>
      <c r="C7" s="104" t="s">
        <v>82</v>
      </c>
      <c r="D7" s="104" t="s">
        <v>83</v>
      </c>
      <c r="E7" s="104" t="s">
        <v>84</v>
      </c>
      <c r="F7" s="104" t="s">
        <v>85</v>
      </c>
      <c r="G7" s="104" t="s">
        <v>86</v>
      </c>
      <c r="H7" s="104" t="s">
        <v>87</v>
      </c>
      <c r="I7" s="18"/>
      <c r="J7" s="18"/>
      <c r="K7" s="18"/>
      <c r="L7" s="18"/>
      <c r="M7" s="18"/>
      <c r="N7" s="18"/>
      <c r="O7" s="18"/>
      <c r="P7" s="18"/>
      <c r="Q7" s="18"/>
      <c r="R7" s="18"/>
      <c r="S7" s="18"/>
      <c r="T7" s="18"/>
      <c r="U7" s="18"/>
      <c r="V7" s="18"/>
      <c r="W7" s="18"/>
      <c r="X7" s="18"/>
      <c r="Y7" s="18"/>
    </row>
    <row r="8" spans="1:64" ht="18.149999999999999" customHeight="1">
      <c r="B8" s="102">
        <v>1</v>
      </c>
      <c r="C8" s="103" t="s">
        <v>88</v>
      </c>
      <c r="D8" s="53" t="s">
        <v>89</v>
      </c>
      <c r="E8" s="53" t="s">
        <v>90</v>
      </c>
      <c r="F8" s="123" t="s">
        <v>91</v>
      </c>
      <c r="G8" s="53" t="s">
        <v>92</v>
      </c>
      <c r="H8" s="143" t="s">
        <v>93</v>
      </c>
      <c r="I8" s="18"/>
      <c r="J8" s="18"/>
      <c r="K8" s="18"/>
      <c r="L8" s="18"/>
      <c r="M8" s="18"/>
      <c r="N8" s="18"/>
      <c r="O8" s="18"/>
      <c r="P8" s="18"/>
      <c r="Q8" s="18"/>
      <c r="R8" s="18"/>
      <c r="S8" s="18"/>
      <c r="T8" s="18"/>
      <c r="U8" s="18"/>
      <c r="V8" s="18"/>
      <c r="W8" s="18"/>
      <c r="X8" s="18"/>
      <c r="Y8" s="18"/>
    </row>
    <row r="9" spans="1:64" ht="18.149999999999999" customHeight="1">
      <c r="B9" s="51">
        <v>2</v>
      </c>
      <c r="C9" s="52" t="s">
        <v>94</v>
      </c>
      <c r="D9" s="53" t="s">
        <v>89</v>
      </c>
      <c r="E9" s="53" t="s">
        <v>124</v>
      </c>
      <c r="F9" s="123" t="s">
        <v>95</v>
      </c>
      <c r="G9" s="53" t="s">
        <v>96</v>
      </c>
      <c r="H9" s="101" t="s">
        <v>97</v>
      </c>
      <c r="I9" s="18"/>
      <c r="J9" s="18"/>
      <c r="K9" s="18"/>
      <c r="L9" s="18"/>
      <c r="M9" s="18"/>
      <c r="N9" s="18"/>
      <c r="O9" s="18"/>
      <c r="P9" s="18"/>
      <c r="Q9" s="18"/>
      <c r="R9" s="18"/>
      <c r="S9" s="18"/>
      <c r="T9" s="18"/>
      <c r="U9" s="18"/>
      <c r="V9" s="18"/>
      <c r="W9" s="18"/>
      <c r="X9" s="18"/>
      <c r="Y9" s="18"/>
    </row>
    <row r="10" spans="1:64" ht="18.149999999999999" customHeight="1">
      <c r="B10" s="51">
        <v>3</v>
      </c>
      <c r="C10" s="52" t="s">
        <v>98</v>
      </c>
      <c r="D10" s="53" t="s">
        <v>89</v>
      </c>
      <c r="E10" s="53" t="s">
        <v>124</v>
      </c>
      <c r="F10" s="123" t="s">
        <v>99</v>
      </c>
      <c r="G10" s="53" t="s">
        <v>100</v>
      </c>
      <c r="H10" s="101"/>
      <c r="I10" s="18"/>
      <c r="J10" s="18"/>
      <c r="K10" s="18"/>
      <c r="L10" s="18"/>
      <c r="M10" s="18"/>
      <c r="N10" s="18"/>
      <c r="O10" s="18"/>
      <c r="P10" s="18"/>
      <c r="Q10" s="18"/>
      <c r="R10" s="18"/>
      <c r="S10" s="18"/>
      <c r="T10" s="18"/>
      <c r="U10" s="18"/>
      <c r="V10" s="18"/>
      <c r="W10" s="18"/>
      <c r="X10" s="18"/>
      <c r="Y10" s="18"/>
    </row>
    <row r="11" spans="1:64" ht="18.149999999999999" customHeight="1">
      <c r="B11" s="51">
        <v>4</v>
      </c>
      <c r="C11" s="52" t="s">
        <v>101</v>
      </c>
      <c r="D11" s="53" t="s">
        <v>89</v>
      </c>
      <c r="E11" s="53" t="s">
        <v>516</v>
      </c>
      <c r="F11" s="123" t="s">
        <v>102</v>
      </c>
      <c r="G11" s="53" t="s">
        <v>103</v>
      </c>
      <c r="H11" s="101" t="s">
        <v>38</v>
      </c>
      <c r="I11" s="18"/>
      <c r="J11" s="18"/>
      <c r="K11" s="18"/>
      <c r="L11" s="18"/>
      <c r="M11" s="18"/>
      <c r="N11" s="18"/>
      <c r="O11" s="18"/>
      <c r="P11" s="18"/>
      <c r="Q11" s="18"/>
      <c r="R11" s="18"/>
      <c r="S11" s="18"/>
      <c r="T11" s="18"/>
      <c r="U11" s="18"/>
      <c r="V11" s="18"/>
      <c r="W11" s="18"/>
      <c r="X11" s="18"/>
      <c r="Y11" s="18"/>
    </row>
    <row r="12" spans="1:64" ht="18.149999999999999" customHeight="1">
      <c r="B12" s="51">
        <v>5</v>
      </c>
      <c r="C12" s="52" t="s">
        <v>104</v>
      </c>
      <c r="D12" s="53" t="s">
        <v>89</v>
      </c>
      <c r="E12" s="53" t="s">
        <v>114</v>
      </c>
      <c r="F12" s="123" t="s">
        <v>105</v>
      </c>
      <c r="G12" s="53" t="s">
        <v>106</v>
      </c>
      <c r="H12" s="101"/>
      <c r="I12" s="18"/>
      <c r="J12" s="18"/>
      <c r="K12" s="18"/>
      <c r="L12" s="18"/>
      <c r="M12" s="18"/>
      <c r="N12" s="18"/>
      <c r="O12" s="18"/>
      <c r="P12" s="18"/>
      <c r="Q12" s="18"/>
      <c r="R12" s="18"/>
      <c r="S12" s="18"/>
      <c r="T12" s="18"/>
      <c r="U12" s="18"/>
      <c r="V12" s="18"/>
      <c r="W12" s="18"/>
      <c r="X12" s="18"/>
      <c r="Y12" s="18"/>
    </row>
    <row r="13" spans="1:64" ht="18.149999999999999" customHeight="1">
      <c r="B13" s="51">
        <v>6</v>
      </c>
      <c r="C13" s="52" t="s">
        <v>107</v>
      </c>
      <c r="D13" s="53" t="s">
        <v>89</v>
      </c>
      <c r="E13" s="53" t="s">
        <v>124</v>
      </c>
      <c r="F13" s="123" t="s">
        <v>108</v>
      </c>
      <c r="G13" s="53" t="s">
        <v>109</v>
      </c>
      <c r="H13" s="101"/>
      <c r="I13" s="18"/>
      <c r="J13" s="18"/>
      <c r="K13" s="18"/>
      <c r="L13" s="18"/>
      <c r="M13" s="18"/>
      <c r="N13" s="18"/>
      <c r="O13" s="18"/>
      <c r="P13" s="18"/>
      <c r="Q13" s="18"/>
      <c r="R13" s="18"/>
      <c r="S13" s="18"/>
      <c r="T13" s="18"/>
      <c r="V13" s="18"/>
      <c r="W13" s="18"/>
      <c r="X13" s="18"/>
      <c r="Y13" s="18"/>
    </row>
    <row r="14" spans="1:64" ht="18.149999999999999" customHeight="1">
      <c r="B14" s="51">
        <v>7</v>
      </c>
      <c r="C14" s="52" t="s">
        <v>110</v>
      </c>
      <c r="D14" s="53" t="s">
        <v>89</v>
      </c>
      <c r="E14" s="53" t="s">
        <v>124</v>
      </c>
      <c r="F14" s="123" t="s">
        <v>111</v>
      </c>
      <c r="G14" s="53" t="s">
        <v>112</v>
      </c>
      <c r="H14" s="101"/>
      <c r="I14" s="18"/>
      <c r="J14" s="18"/>
      <c r="K14" s="18"/>
      <c r="L14" s="18"/>
      <c r="M14" s="18"/>
      <c r="N14" s="18"/>
      <c r="O14" s="18"/>
      <c r="P14" s="18"/>
      <c r="Q14" s="18"/>
      <c r="R14" s="18"/>
      <c r="S14" s="18"/>
      <c r="T14" s="18"/>
      <c r="U14" s="18"/>
      <c r="V14" s="18"/>
      <c r="W14" s="18"/>
      <c r="X14" s="18"/>
      <c r="Y14" s="18"/>
    </row>
    <row r="15" spans="1:64" ht="18.149999999999999" customHeight="1">
      <c r="B15" s="51">
        <v>8</v>
      </c>
      <c r="C15" s="52" t="s">
        <v>113</v>
      </c>
      <c r="D15" s="53" t="s">
        <v>89</v>
      </c>
      <c r="E15" s="53" t="s">
        <v>114</v>
      </c>
      <c r="F15" s="123" t="s">
        <v>115</v>
      </c>
      <c r="G15" s="53" t="s">
        <v>116</v>
      </c>
      <c r="H15" s="101"/>
      <c r="I15" s="18"/>
      <c r="J15" s="18"/>
      <c r="K15" s="18"/>
      <c r="L15" s="18"/>
      <c r="M15" s="18"/>
      <c r="N15" s="18"/>
      <c r="O15" s="18"/>
      <c r="P15" s="18"/>
      <c r="Q15" s="18"/>
      <c r="R15" s="18"/>
      <c r="S15" s="18"/>
      <c r="T15" s="18"/>
      <c r="U15" s="18"/>
      <c r="V15" s="18"/>
      <c r="W15" s="18"/>
      <c r="X15" s="18"/>
      <c r="Y15" s="18"/>
    </row>
    <row r="16" spans="1:64" ht="18.149999999999999" customHeight="1">
      <c r="B16" s="51">
        <v>9</v>
      </c>
      <c r="C16" s="52" t="s">
        <v>117</v>
      </c>
      <c r="D16" s="53" t="s">
        <v>89</v>
      </c>
      <c r="E16" s="53" t="s">
        <v>124</v>
      </c>
      <c r="F16" s="123" t="s">
        <v>118</v>
      </c>
      <c r="G16" s="53" t="s">
        <v>119</v>
      </c>
      <c r="H16" s="101"/>
      <c r="I16" s="18"/>
      <c r="J16" s="18"/>
      <c r="K16" s="18"/>
      <c r="L16" s="18"/>
      <c r="M16" s="18"/>
      <c r="N16" s="18"/>
      <c r="O16" s="18"/>
      <c r="P16" s="18"/>
      <c r="Q16" s="18"/>
      <c r="R16" s="18"/>
      <c r="S16" s="18"/>
      <c r="T16" s="18"/>
      <c r="U16" s="18"/>
      <c r="V16" s="18"/>
      <c r="W16" s="18"/>
      <c r="X16" s="18"/>
      <c r="Y16" s="18"/>
    </row>
    <row r="17" spans="2:25" ht="18.149999999999999" customHeight="1">
      <c r="B17" s="51">
        <v>10</v>
      </c>
      <c r="C17" s="52" t="s">
        <v>120</v>
      </c>
      <c r="D17" s="53" t="s">
        <v>89</v>
      </c>
      <c r="E17" s="53" t="s">
        <v>124</v>
      </c>
      <c r="F17" s="123" t="s">
        <v>121</v>
      </c>
      <c r="G17" s="53" t="s">
        <v>122</v>
      </c>
      <c r="H17" s="101"/>
      <c r="I17" s="18"/>
      <c r="J17" s="18"/>
      <c r="K17" s="18"/>
      <c r="L17" s="18"/>
      <c r="M17" s="18"/>
      <c r="N17" s="18"/>
      <c r="O17" s="18"/>
      <c r="P17" s="18"/>
      <c r="Q17" s="18"/>
      <c r="R17" s="18"/>
      <c r="S17" s="18"/>
      <c r="T17" s="18"/>
      <c r="U17" s="18"/>
      <c r="V17" s="18"/>
      <c r="W17" s="18"/>
      <c r="X17" s="18"/>
      <c r="Y17" s="18"/>
    </row>
    <row r="18" spans="2:25" ht="18.149999999999999" customHeight="1">
      <c r="B18" s="51">
        <v>11</v>
      </c>
      <c r="C18" s="52" t="s">
        <v>123</v>
      </c>
      <c r="D18" s="53" t="s">
        <v>89</v>
      </c>
      <c r="E18" s="53" t="s">
        <v>124</v>
      </c>
      <c r="F18" s="123" t="s">
        <v>125</v>
      </c>
      <c r="G18" s="53" t="s">
        <v>126</v>
      </c>
      <c r="H18" s="101"/>
      <c r="I18" s="18"/>
      <c r="J18" s="18"/>
      <c r="K18" s="18"/>
      <c r="L18" s="18"/>
      <c r="M18" s="18"/>
      <c r="N18" s="18"/>
      <c r="O18" s="18"/>
      <c r="P18" s="18"/>
      <c r="Q18" s="18"/>
      <c r="R18" s="18"/>
      <c r="S18" s="18"/>
      <c r="T18" s="18"/>
      <c r="U18" s="18"/>
      <c r="V18" s="18"/>
      <c r="W18" s="18"/>
      <c r="X18" s="18"/>
      <c r="Y18" s="18"/>
    </row>
    <row r="19" spans="2:25" ht="18.149999999999999" customHeight="1">
      <c r="B19" s="51">
        <v>12</v>
      </c>
      <c r="C19" s="52" t="s">
        <v>127</v>
      </c>
      <c r="D19" s="53" t="s">
        <v>89</v>
      </c>
      <c r="E19" s="53" t="s">
        <v>124</v>
      </c>
      <c r="F19" s="123" t="s">
        <v>128</v>
      </c>
      <c r="G19" s="53" t="s">
        <v>129</v>
      </c>
      <c r="H19" s="101"/>
      <c r="I19" s="18"/>
      <c r="J19" s="18"/>
      <c r="K19" s="18"/>
      <c r="L19" s="18"/>
      <c r="M19" s="18"/>
      <c r="N19" s="18"/>
      <c r="O19" s="18"/>
      <c r="P19" s="18"/>
      <c r="Q19" s="18"/>
      <c r="R19" s="18"/>
      <c r="S19" s="18"/>
      <c r="T19" s="18"/>
      <c r="U19" s="18"/>
      <c r="V19" s="18"/>
      <c r="W19" s="18"/>
      <c r="X19" s="18"/>
      <c r="Y19" s="18"/>
    </row>
    <row r="20" spans="2:25" ht="18.149999999999999" customHeight="1">
      <c r="B20" s="51">
        <v>13</v>
      </c>
      <c r="C20" s="52" t="s">
        <v>130</v>
      </c>
      <c r="D20" s="53" t="s">
        <v>89</v>
      </c>
      <c r="E20" s="53" t="s">
        <v>124</v>
      </c>
      <c r="F20" s="123" t="s">
        <v>131</v>
      </c>
      <c r="G20" s="53" t="s">
        <v>132</v>
      </c>
      <c r="H20" s="101"/>
      <c r="I20" s="18"/>
      <c r="J20" s="18"/>
      <c r="K20" s="18"/>
      <c r="L20" s="18"/>
      <c r="M20" s="18"/>
      <c r="N20" s="18"/>
      <c r="O20" s="18"/>
      <c r="P20" s="18"/>
      <c r="Q20" s="18"/>
      <c r="R20" s="18"/>
      <c r="S20" s="18"/>
      <c r="T20" s="18"/>
      <c r="U20" s="18"/>
      <c r="V20" s="18"/>
      <c r="W20" s="18"/>
      <c r="X20" s="18"/>
      <c r="Y20" s="18"/>
    </row>
    <row r="21" spans="2:25" ht="18.149999999999999" customHeight="1">
      <c r="B21" s="51">
        <v>14</v>
      </c>
      <c r="C21" s="52" t="s">
        <v>133</v>
      </c>
      <c r="D21" s="53" t="s">
        <v>89</v>
      </c>
      <c r="E21" s="53" t="s">
        <v>134</v>
      </c>
      <c r="F21" s="123" t="s">
        <v>135</v>
      </c>
      <c r="G21" s="53" t="s">
        <v>136</v>
      </c>
      <c r="H21" s="101"/>
      <c r="I21" s="18"/>
      <c r="J21" s="18"/>
      <c r="K21" s="18"/>
      <c r="L21" s="18"/>
      <c r="M21" s="18"/>
      <c r="N21" s="18"/>
      <c r="O21" s="18"/>
      <c r="P21" s="18"/>
      <c r="Q21" s="18"/>
      <c r="R21" s="18"/>
      <c r="S21" s="18"/>
      <c r="T21" s="18"/>
      <c r="U21" s="18"/>
      <c r="V21" s="18"/>
      <c r="W21" s="18"/>
      <c r="X21" s="18"/>
      <c r="Y21" s="18"/>
    </row>
    <row r="22" spans="2:25" ht="18.149999999999999" customHeight="1">
      <c r="B22" s="51">
        <v>15</v>
      </c>
      <c r="C22" s="52" t="s">
        <v>137</v>
      </c>
      <c r="D22" s="53" t="s">
        <v>89</v>
      </c>
      <c r="E22" s="53" t="s">
        <v>124</v>
      </c>
      <c r="F22" s="123" t="s">
        <v>138</v>
      </c>
      <c r="G22" s="53" t="s">
        <v>139</v>
      </c>
      <c r="H22" s="101"/>
      <c r="I22" s="18"/>
      <c r="J22" s="18"/>
      <c r="K22" s="18"/>
      <c r="L22" s="18"/>
      <c r="M22" s="18"/>
      <c r="N22" s="18"/>
      <c r="O22" s="18"/>
      <c r="P22" s="18"/>
      <c r="Q22" s="18"/>
      <c r="R22" s="18"/>
      <c r="S22" s="18"/>
      <c r="T22" s="18"/>
      <c r="U22" s="18"/>
      <c r="V22" s="18"/>
      <c r="W22" s="18"/>
      <c r="X22" s="18"/>
      <c r="Y22" s="18"/>
    </row>
    <row r="23" spans="2:25" ht="18.149999999999999" customHeight="1">
      <c r="B23" s="51">
        <v>16</v>
      </c>
      <c r="C23" s="52" t="s">
        <v>140</v>
      </c>
      <c r="D23" s="53" t="s">
        <v>89</v>
      </c>
      <c r="E23" s="53" t="s">
        <v>140</v>
      </c>
      <c r="F23" s="123" t="s">
        <v>141</v>
      </c>
      <c r="G23" s="53" t="s">
        <v>142</v>
      </c>
      <c r="H23" s="101"/>
      <c r="I23" s="18"/>
      <c r="J23" s="18"/>
      <c r="K23" s="18"/>
      <c r="L23" s="18"/>
      <c r="M23" s="18"/>
      <c r="N23" s="18"/>
      <c r="O23" s="18"/>
      <c r="P23" s="18"/>
      <c r="Q23" s="18"/>
      <c r="R23" s="18"/>
      <c r="S23" s="18"/>
      <c r="T23" s="18"/>
      <c r="U23" s="18"/>
      <c r="V23" s="18"/>
      <c r="W23" s="18"/>
      <c r="X23" s="18"/>
      <c r="Y23" s="18"/>
    </row>
    <row r="24" spans="2:25" ht="18.149999999999999" customHeight="1">
      <c r="B24" s="51">
        <v>17</v>
      </c>
      <c r="C24" s="52" t="s">
        <v>143</v>
      </c>
      <c r="D24" s="53" t="s">
        <v>89</v>
      </c>
      <c r="E24" s="53" t="s">
        <v>144</v>
      </c>
      <c r="F24" s="123" t="s">
        <v>145</v>
      </c>
      <c r="G24" s="53" t="s">
        <v>146</v>
      </c>
      <c r="H24" s="101" t="s">
        <v>147</v>
      </c>
      <c r="I24" s="18"/>
      <c r="J24" s="18"/>
      <c r="K24" s="18"/>
      <c r="L24" s="18"/>
      <c r="M24" s="18"/>
      <c r="N24" s="18"/>
      <c r="O24" s="18"/>
      <c r="P24" s="18"/>
      <c r="Q24" s="18"/>
      <c r="R24" s="18"/>
      <c r="S24" s="18"/>
      <c r="T24" s="18"/>
      <c r="U24" s="18"/>
      <c r="V24" s="18"/>
      <c r="W24" s="18"/>
      <c r="X24" s="18"/>
      <c r="Y24" s="18"/>
    </row>
    <row r="25" spans="2:25" ht="18.149999999999999" customHeight="1">
      <c r="B25" s="51">
        <v>18</v>
      </c>
      <c r="C25" s="52" t="s">
        <v>148</v>
      </c>
      <c r="D25" s="53" t="s">
        <v>89</v>
      </c>
      <c r="E25" s="53" t="s">
        <v>149</v>
      </c>
      <c r="F25" s="123" t="s">
        <v>150</v>
      </c>
      <c r="G25" s="53" t="s">
        <v>151</v>
      </c>
      <c r="H25" s="101" t="s">
        <v>147</v>
      </c>
      <c r="I25" s="18"/>
      <c r="J25" s="18"/>
      <c r="K25" s="18"/>
      <c r="L25" s="18"/>
      <c r="M25" s="18"/>
      <c r="N25" s="18"/>
      <c r="O25" s="18"/>
      <c r="P25" s="18"/>
      <c r="Q25" s="18"/>
      <c r="R25" s="18"/>
      <c r="S25" s="18"/>
      <c r="T25" s="18"/>
      <c r="U25" s="18"/>
      <c r="V25" s="18"/>
      <c r="W25" s="18"/>
      <c r="X25" s="18"/>
      <c r="Y25" s="18"/>
    </row>
    <row r="26" spans="2:25" ht="18.149999999999999" customHeight="1">
      <c r="B26" s="51">
        <v>19</v>
      </c>
      <c r="C26" s="52" t="s">
        <v>152</v>
      </c>
      <c r="D26" s="53" t="s">
        <v>89</v>
      </c>
      <c r="E26" s="53" t="s">
        <v>153</v>
      </c>
      <c r="F26" s="123" t="s">
        <v>154</v>
      </c>
      <c r="G26" s="53" t="s">
        <v>155</v>
      </c>
      <c r="H26" s="101" t="s">
        <v>156</v>
      </c>
      <c r="I26" s="18"/>
      <c r="J26" s="18"/>
      <c r="K26" s="18"/>
      <c r="L26" s="18"/>
      <c r="M26" s="18"/>
      <c r="N26" s="18"/>
      <c r="O26" s="18"/>
      <c r="P26" s="18"/>
      <c r="Q26" s="18"/>
      <c r="R26" s="18"/>
      <c r="S26" s="18"/>
      <c r="T26" s="18"/>
      <c r="U26" s="18"/>
      <c r="V26" s="18"/>
      <c r="W26" s="18"/>
      <c r="X26" s="18"/>
      <c r="Y26" s="18"/>
    </row>
    <row r="27" spans="2:25" ht="18.149999999999999" customHeight="1">
      <c r="B27" s="51">
        <v>20</v>
      </c>
      <c r="C27" s="52" t="s">
        <v>157</v>
      </c>
      <c r="D27" s="53" t="s">
        <v>89</v>
      </c>
      <c r="E27" s="53" t="s">
        <v>158</v>
      </c>
      <c r="F27" s="123" t="s">
        <v>159</v>
      </c>
      <c r="G27" s="53" t="s">
        <v>160</v>
      </c>
      <c r="H27" s="101" t="s">
        <v>147</v>
      </c>
      <c r="I27" s="18"/>
      <c r="J27" s="18"/>
      <c r="K27" s="18"/>
      <c r="L27" s="18"/>
      <c r="M27" s="18"/>
      <c r="N27" s="18"/>
      <c r="O27" s="18"/>
      <c r="P27" s="18"/>
      <c r="Q27" s="18"/>
      <c r="R27" s="18"/>
      <c r="S27" s="18"/>
      <c r="T27" s="18"/>
      <c r="U27" s="18"/>
      <c r="V27" s="18"/>
      <c r="W27" s="18"/>
      <c r="X27" s="18"/>
      <c r="Y27" s="18"/>
    </row>
    <row r="28" spans="2:25" ht="18.149999999999999"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149999999999999"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149999999999999"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149999999999999"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149999999999999"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149999999999999"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149999999999999"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149999999999999"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149999999999999"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149999999999999"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149999999999999"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149999999999999"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149999999999999"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149999999999999"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149999999999999"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149999999999999" customHeight="1">
      <c r="B45" s="55" t="s">
        <v>161</v>
      </c>
      <c r="C45" s="56"/>
      <c r="D45" s="57">
        <f>COUNTA(F8:F42)</f>
        <v>20</v>
      </c>
      <c r="F45" s="18"/>
      <c r="G45" s="18"/>
      <c r="H45" s="18"/>
      <c r="I45" s="18"/>
      <c r="J45" s="18"/>
      <c r="K45" s="18"/>
      <c r="L45" s="18"/>
      <c r="M45" s="18"/>
      <c r="N45" s="18"/>
      <c r="O45" s="18"/>
      <c r="P45" s="18"/>
      <c r="Q45" s="18"/>
      <c r="R45" s="18"/>
      <c r="S45" s="18"/>
      <c r="T45" s="18"/>
      <c r="U45" s="18"/>
      <c r="V45" s="18"/>
      <c r="W45" s="18"/>
      <c r="X45" s="18"/>
    </row>
    <row r="46" spans="2:25" ht="18.149999999999999"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149999999999999" customHeight="1">
      <c r="B47" s="55" t="s">
        <v>162</v>
      </c>
      <c r="C47" s="56"/>
      <c r="D47" s="57">
        <f>D45-D49</f>
        <v>18</v>
      </c>
      <c r="E47" s="18"/>
      <c r="F47" s="18"/>
      <c r="G47" s="18"/>
      <c r="H47" s="18"/>
      <c r="I47" s="18"/>
      <c r="J47" s="18"/>
      <c r="K47" s="18"/>
      <c r="L47" s="18"/>
      <c r="M47" s="18"/>
      <c r="N47" s="18"/>
      <c r="O47" s="18"/>
      <c r="P47" s="18"/>
      <c r="Q47" s="18"/>
      <c r="R47" s="18"/>
      <c r="S47" s="18"/>
      <c r="T47" s="18"/>
      <c r="U47" s="18"/>
      <c r="V47" s="18"/>
      <c r="W47" s="18"/>
      <c r="X47" s="18"/>
    </row>
    <row r="48" spans="2:25" ht="16.649999999999999"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5" customHeight="1">
      <c r="B49" s="55" t="s">
        <v>163</v>
      </c>
      <c r="C49" s="58"/>
      <c r="D49" s="57">
        <f>COUNTIF(E8:E42,"Aleatoria")</f>
        <v>2</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149999999999999" customHeight="1">
      <c r="B52" s="55" t="s">
        <v>164</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D52">
    <cfRule type="cellIs" dxfId="1125" priority="3" operator="equal">
      <formula>"SI"</formula>
    </cfRule>
    <cfRule type="cellIs" dxfId="1124" priority="4" operator="equal">
      <formula>"NO"</formula>
    </cfRule>
  </conditionalFormatting>
  <conditionalFormatting sqref="E44">
    <cfRule type="expression" dxfId="1123"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topLeftCell="A10" zoomScale="80" zoomScaleNormal="80" workbookViewId="0">
      <selection activeCell="D38" sqref="D38"/>
    </sheetView>
  </sheetViews>
  <sheetFormatPr baseColWidth="10" defaultColWidth="11.54296875" defaultRowHeight="12.5"/>
  <cols>
    <col min="1" max="1" width="6.36328125" style="84" customWidth="1"/>
    <col min="2" max="2" width="16.08984375" style="14" customWidth="1"/>
    <col min="3" max="3" width="64.08984375" style="14" customWidth="1"/>
    <col min="4" max="4" width="18.36328125" style="84" customWidth="1"/>
    <col min="5" max="5" width="6.3632812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5.453125" style="14" customWidth="1"/>
    <col min="14" max="14" width="12.36328125" style="14" customWidth="1"/>
    <col min="15"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15" customHeight="1">
      <c r="A3" s="22"/>
      <c r="B3" s="46" t="s">
        <v>2</v>
      </c>
      <c r="C3" s="26"/>
      <c r="D3" s="78"/>
      <c r="E3" s="79"/>
    </row>
    <row r="4" spans="1:64" ht="26.15" customHeight="1">
      <c r="B4" s="1"/>
      <c r="C4" s="47"/>
      <c r="D4" s="14"/>
      <c r="E4" s="14"/>
      <c r="K4" s="18"/>
      <c r="N4" s="18"/>
      <c r="O4" s="18"/>
    </row>
    <row r="5" spans="1:64" ht="27.9" customHeight="1">
      <c r="B5" s="7" t="s">
        <v>165</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6"/>
      <c r="C6" s="126"/>
      <c r="D6" s="126"/>
      <c r="E6" s="127"/>
      <c r="F6" s="126"/>
      <c r="G6" s="126"/>
      <c r="H6" s="126"/>
      <c r="I6" s="126"/>
      <c r="J6" s="126"/>
      <c r="K6" s="126"/>
      <c r="L6" s="126"/>
      <c r="M6" s="126"/>
      <c r="N6" s="18"/>
      <c r="O6" s="18"/>
    </row>
    <row r="7" spans="1:64" ht="12.65" customHeight="1">
      <c r="B7" s="18"/>
      <c r="C7" s="18"/>
      <c r="D7" s="18"/>
      <c r="E7" s="79"/>
      <c r="F7" s="18"/>
      <c r="G7" s="18"/>
      <c r="H7" s="18"/>
      <c r="I7" s="18"/>
      <c r="J7" s="18"/>
      <c r="K7" s="18"/>
      <c r="L7" s="18"/>
      <c r="M7" s="18"/>
      <c r="N7" s="18"/>
      <c r="O7" s="18"/>
    </row>
    <row r="8" spans="1:64" ht="18.899999999999999" customHeight="1">
      <c r="B8" s="82" t="s">
        <v>166</v>
      </c>
      <c r="C8" s="18"/>
      <c r="D8" s="79"/>
      <c r="E8" s="79"/>
      <c r="F8" s="18"/>
      <c r="G8" s="18"/>
      <c r="H8" s="18"/>
      <c r="I8" s="18"/>
      <c r="J8" s="18"/>
      <c r="K8" s="18"/>
      <c r="L8" s="18"/>
      <c r="M8" s="18"/>
      <c r="N8" s="18"/>
      <c r="O8" s="18"/>
    </row>
    <row r="9" spans="1:64" ht="30" customHeight="1">
      <c r="B9" s="231" t="s">
        <v>167</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168</v>
      </c>
      <c r="C11" s="230"/>
      <c r="D11" s="26"/>
      <c r="E11" s="14"/>
      <c r="F11" s="196" t="s">
        <v>169</v>
      </c>
      <c r="G11" s="105" t="s">
        <v>170</v>
      </c>
      <c r="H11" s="197" t="s">
        <v>171</v>
      </c>
      <c r="I11" s="22"/>
      <c r="J11" s="196" t="s">
        <v>172</v>
      </c>
      <c r="K11" s="105" t="s">
        <v>170</v>
      </c>
      <c r="L11" s="197" t="s">
        <v>171</v>
      </c>
      <c r="M11" s="18"/>
      <c r="N11" s="18"/>
      <c r="O11" s="142"/>
      <c r="P11" s="18"/>
      <c r="Q11" s="18"/>
      <c r="R11" s="18"/>
      <c r="U11" s="18"/>
      <c r="V11" s="18"/>
      <c r="W11" s="18"/>
      <c r="X11" s="18"/>
      <c r="Y11" s="18"/>
    </row>
    <row r="12" spans="1:64" ht="12" customHeight="1">
      <c r="B12" s="108" t="s">
        <v>173</v>
      </c>
      <c r="C12" s="198">
        <f>COUNTIF($B$18:$B$3773,B12)</f>
        <v>3</v>
      </c>
      <c r="D12" s="26"/>
      <c r="E12" s="14"/>
      <c r="F12" s="199" t="s">
        <v>174</v>
      </c>
      <c r="G12" s="72">
        <f ca="1">J20+J58+J96</f>
        <v>0</v>
      </c>
      <c r="H12" s="42">
        <f ca="1">IF(($G$15+$K$15)=0,0,G12/($G$15+$K$15))</f>
        <v>0</v>
      </c>
      <c r="I12" s="26"/>
      <c r="J12" s="183" t="s">
        <v>175</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176</v>
      </c>
      <c r="G13" s="72">
        <f ca="1">I20+I58+I96</f>
        <v>14</v>
      </c>
      <c r="H13" s="42">
        <f ca="1">IF(($G$15+$K$15)=0,0,G13/($G$15+$K$15))</f>
        <v>0.23333333333333334</v>
      </c>
      <c r="I13" s="26"/>
      <c r="J13" s="183" t="s">
        <v>177</v>
      </c>
      <c r="K13" s="72">
        <f ca="1">F20+F58+F96</f>
        <v>0</v>
      </c>
      <c r="L13" s="42">
        <f ca="1">IF(($G$15+$K$15)=0,0,K13/($G$15+$K$15))</f>
        <v>0</v>
      </c>
      <c r="M13" s="18"/>
      <c r="N13" s="18"/>
      <c r="O13" s="18"/>
      <c r="P13" s="18"/>
      <c r="Q13" s="18"/>
      <c r="R13" s="18"/>
      <c r="U13" s="18"/>
      <c r="V13" s="18"/>
      <c r="W13" s="18"/>
      <c r="X13" s="18"/>
      <c r="Y13" s="18"/>
    </row>
    <row r="14" spans="1:64" ht="12" customHeight="1" thickBot="1">
      <c r="B14" s="200" t="s">
        <v>178</v>
      </c>
      <c r="C14" s="201">
        <f>C12+C13</f>
        <v>3</v>
      </c>
      <c r="D14" s="26"/>
      <c r="E14" s="14"/>
      <c r="F14" s="199" t="s">
        <v>179</v>
      </c>
      <c r="G14" s="72">
        <f ca="1">H20+H58+H96</f>
        <v>46</v>
      </c>
      <c r="H14" s="42">
        <f ca="1">IF(($G$15+$K$15)=0,0,G14/($G$15+$K$15))</f>
        <v>0.76666666666666672</v>
      </c>
      <c r="I14" s="26"/>
      <c r="J14" s="177" t="s">
        <v>180</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178</v>
      </c>
      <c r="G15" s="203">
        <f ca="1">SUM(G12:G14)</f>
        <v>60</v>
      </c>
      <c r="H15" s="204">
        <f ca="1">SUM(H12:H14)</f>
        <v>1</v>
      </c>
      <c r="I15" s="26"/>
      <c r="J15" s="200" t="s">
        <v>178</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181</v>
      </c>
      <c r="B18" s="23" t="s">
        <v>173</v>
      </c>
      <c r="C18" s="24" t="s">
        <v>182</v>
      </c>
      <c r="D18" s="25" t="s">
        <v>183</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Inicio</v>
      </c>
      <c r="C19" s="174" t="str" cm="1">
        <f t="array" ref="C19">IFERROR(INDEX('03.Muestra'!$F$8:$F$42,SMALL(IF("Página Web"='03.Muestra'!$D$8:$D$42,ROW('03.Muestra'!$F$8:$F$42)-MIN(ROW('03.Muestra'!$D$8:$D$42))+1,""),ROW()-18)),"")</f>
        <v>https://elecciones.comunidad.madrid/es</v>
      </c>
      <c r="D19" s="99" t="s">
        <v>184</v>
      </c>
      <c r="E19" s="79" t="str">
        <f t="shared" ref="E19:E53" si="0">IF(D19&lt;&gt;"",IF(AND(B19&lt;&gt;"",C19&lt;&gt;""),"","ERR"),"")</f>
        <v/>
      </c>
      <c r="F19" s="86" t="s">
        <v>185</v>
      </c>
      <c r="G19" s="87" t="s">
        <v>186</v>
      </c>
      <c r="H19" s="88" t="s">
        <v>184</v>
      </c>
      <c r="I19" s="89" t="s">
        <v>176</v>
      </c>
      <c r="J19" s="90" t="s">
        <v>174</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Resultado Elecciones 28M 2023</v>
      </c>
      <c r="C20" s="174" t="str" cm="1">
        <f t="array" ref="C20">IFERROR(INDEX('03.Muestra'!$F$8:$F$42,SMALL(IF("Página Web"='03.Muestra'!$D$8:$D$42,ROW('03.Muestra'!$F$8:$F$42)-MIN(ROW('03.Muestra'!$D$8:$D$42))+1,""),ROW()-18)),"")</f>
        <v>https://elecciones.comunidad.madrid/es/resultados-elecciones-asamblea-madrid-28m-2023</v>
      </c>
      <c r="D20" s="99" t="s">
        <v>176</v>
      </c>
      <c r="E20" s="79" t="str">
        <f t="shared" si="0"/>
        <v/>
      </c>
      <c r="F20" s="91">
        <f ca="1">COUNTIF($D19:INDIRECT("$D" &amp;  SUM(ROW()-1,'03.Muestra'!$D$45)-1),F19)</f>
        <v>0</v>
      </c>
      <c r="G20" s="91">
        <f ca="1">COUNTIF($D19:INDIRECT("$D" &amp;  SUM(ROW()-1,'03.Muestra'!$D$45)-1),G19)</f>
        <v>0</v>
      </c>
      <c r="H20" s="91">
        <f ca="1">COUNTIF($D19:INDIRECT("$D" &amp;  SUM(ROW()-1,'03.Muestra'!$D$45)-1),H19)</f>
        <v>6</v>
      </c>
      <c r="I20" s="91">
        <f ca="1">COUNTIF($D19:INDIRECT("$D" &amp;  SUM(ROW()-1,'03.Muestra'!$D$45)-1),I19)</f>
        <v>14</v>
      </c>
      <c r="J20" s="91">
        <f ca="1">COUNTIF($D19:INDIRECT("$D" &amp;  SUM(ROW()-1,'03.Muestra'!$D$45)-1),J19)</f>
        <v>0</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Normativa electoral</v>
      </c>
      <c r="C21" s="174" t="str" cm="1">
        <f t="array" ref="C21">IFERROR(INDEX('03.Muestra'!$F$8:$F$42,SMALL(IF("Página Web"='03.Muestra'!$D$8:$D$42,ROW('03.Muestra'!$F$8:$F$42)-MIN(ROW('03.Muestra'!$D$8:$D$42))+1,""),ROW()-18)),"")</f>
        <v>https://elecciones.comunidad.madrid/es/informacion-electoral/normativa-electoral</v>
      </c>
      <c r="D21" s="99" t="s">
        <v>176</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Calendario electoral</v>
      </c>
      <c r="C22" s="174" t="str" cm="1">
        <f t="array" ref="C22">IFERROR(INDEX('03.Muestra'!$F$8:$F$42,SMALL(IF("Página Web"='03.Muestra'!$D$8:$D$42,ROW('03.Muestra'!$F$8:$F$42)-MIN(ROW('03.Muestra'!$D$8:$D$42))+1,""),ROW()-18)),"")</f>
        <v>https://elecciones.comunidad.madrid/es/informacion-electoral/calendario-electoral</v>
      </c>
      <c r="D22" s="99" t="s">
        <v>176</v>
      </c>
      <c r="E22" s="79" t="str">
        <f t="shared" si="0"/>
        <v/>
      </c>
      <c r="F22" s="18"/>
      <c r="G22" s="18"/>
      <c r="H22" s="18"/>
      <c r="I22" s="18"/>
      <c r="K22" s="170" t="s">
        <v>185</v>
      </c>
      <c r="L22" s="92" t="s">
        <v>187</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Direcciones y teléfonos</v>
      </c>
      <c r="C23" s="174" t="str" cm="1">
        <f t="array" ref="C23">IFERROR(INDEX('03.Muestra'!$F$8:$F$42,SMALL(IF("Página Web"='03.Muestra'!$D$8:$D$42,ROW('03.Muestra'!$F$8:$F$42)-MIN(ROW('03.Muestra'!$D$8:$D$42))+1,""),ROW()-18)),"")</f>
        <v>https://elecciones.comunidad.madrid/es/juntas-electorales/direcciones-telefonos</v>
      </c>
      <c r="D23" s="99" t="s">
        <v>176</v>
      </c>
      <c r="E23" s="79" t="str">
        <f t="shared" si="0"/>
        <v/>
      </c>
      <c r="F23" s="78"/>
      <c r="G23" s="18"/>
      <c r="H23" s="18"/>
      <c r="I23" s="18"/>
      <c r="K23" s="88" t="s">
        <v>184</v>
      </c>
      <c r="L23" s="92" t="s">
        <v>188</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Impresos electrónicos</v>
      </c>
      <c r="C24" s="174" t="str" cm="1">
        <f t="array" ref="C24">IFERROR(INDEX('03.Muestra'!$F$8:$F$42,SMALL(IF("Página Web"='03.Muestra'!$D$8:$D$42,ROW('03.Muestra'!$F$8:$F$42)-MIN(ROW('03.Muestra'!$D$8:$D$42))+1,""),ROW()-18)),"")</f>
        <v>https://elecciones.comunidad.madrid/es/formaciones-politicas/impresos-electronicos</v>
      </c>
      <c r="D24" s="99" t="s">
        <v>176</v>
      </c>
      <c r="E24" s="79" t="str">
        <f t="shared" si="0"/>
        <v/>
      </c>
      <c r="F24" s="18"/>
      <c r="G24" s="18"/>
      <c r="H24" s="18"/>
      <c r="I24" s="18"/>
      <c r="K24" s="87" t="s">
        <v>186</v>
      </c>
      <c r="L24" s="92" t="s">
        <v>189</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Listado de candidaturas</v>
      </c>
      <c r="C25" s="174" t="str" cm="1">
        <f t="array" ref="C25">IFERROR(INDEX('03.Muestra'!$F$8:$F$42,SMALL(IF("Página Web"='03.Muestra'!$D$8:$D$42,ROW('03.Muestra'!$F$8:$F$42)-MIN(ROW('03.Muestra'!$D$8:$D$42))+1,""),ROW()-18)),"")</f>
        <v>https://elecciones.comunidad.madrid/es/formaciones-politicas/listado-candidaturas-proclamadas</v>
      </c>
      <c r="D25" s="99" t="s">
        <v>176</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4" t="str" cm="1">
        <f t="array" ref="B26">IFERROR(INDEX('03.Muestra'!$C$8:$C$42,SMALL(IF("Página Web"='03.Muestra'!$D$8:$D$42,ROW('03.Muestra'!$C$8:$C$42)-MIN(ROW('03.Muestra'!$D$8:$D$42))+1,""),ROW()-18)),"")</f>
        <v>Partido Feminista de España</v>
      </c>
      <c r="C26" s="174" t="str" cm="1">
        <f t="array" ref="C26">IFERROR(INDEX('03.Muestra'!$F$8:$F$42,SMALL(IF("Página Web"='03.Muestra'!$D$8:$D$42,ROW('03.Muestra'!$F$8:$F$42)-MIN(ROW('03.Muestra'!$D$8:$D$42))+1,""),ROW()-18)),"")</f>
        <v>https://elecciones.comunidad.madrid/es/formaciones-politicas/listado-candidaturas/partido-feminista-espana</v>
      </c>
      <c r="D26" s="99" t="s">
        <v>184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174" t="str" cm="1">
        <f t="array" ref="B27">IFERROR(INDEX('03.Muestra'!$C$8:$C$42,SMALL(IF("Página Web"='03.Muestra'!$D$8:$D$42,ROW('03.Muestra'!$C$8:$C$42)-MIN(ROW('03.Muestra'!$D$8:$D$42))+1,""),ROW()-18)),"")</f>
        <v>¿Dónde voto?</v>
      </c>
      <c r="C27" s="174" t="str" cm="1">
        <f t="array" ref="C27">IFERROR(INDEX('03.Muestra'!$F$8:$F$42,SMALL(IF("Página Web"='03.Muestra'!$D$8:$D$42,ROW('03.Muestra'!$F$8:$F$42)-MIN(ROW('03.Muestra'!$D$8:$D$42))+1,""),ROW()-18)),"")</f>
        <v>https://elecciones.comunidad.madrid/es/votar/donde-voto</v>
      </c>
      <c r="D27" s="99" t="s">
        <v>176</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174" t="str" cm="1">
        <f t="array" ref="B28">IFERROR(INDEX('03.Muestra'!$C$8:$C$42,SMALL(IF("Página Web"='03.Muestra'!$D$8:$D$42,ROW('03.Muestra'!$C$8:$C$42)-MIN(ROW('03.Muestra'!$D$8:$D$42))+1,""),ROW()-18)),"")</f>
        <v>Voto presencial</v>
      </c>
      <c r="C28" s="174" t="str" cm="1">
        <f t="array" ref="C28">IFERROR(INDEX('03.Muestra'!$F$8:$F$42,SMALL(IF("Página Web"='03.Muestra'!$D$8:$D$42,ROW('03.Muestra'!$F$8:$F$42)-MIN(ROW('03.Muestra'!$D$8:$D$42))+1,""),ROW()-18)),"")</f>
        <v>https://elecciones.comunidad.madrid/es/voto-local-electoral/voto-presencial</v>
      </c>
      <c r="D28" s="99" t="s">
        <v>176</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174" t="str" cm="1">
        <f t="array" ref="B29">IFERROR(INDEX('03.Muestra'!$C$8:$C$42,SMALL(IF("Página Web"='03.Muestra'!$D$8:$D$42,ROW('03.Muestra'!$C$8:$C$42)-MIN(ROW('03.Muestra'!$D$8:$D$42))+1,""),ROW()-18)),"")</f>
        <v>Ciudadanos temporalmente en el extranjero</v>
      </c>
      <c r="C29" s="174" t="str" cm="1">
        <f t="array" ref="C29">IFERROR(INDEX('03.Muestra'!$F$8:$F$42,SMALL(IF("Página Web"='03.Muestra'!$D$8:$D$42,ROW('03.Muestra'!$F$8:$F$42)-MIN(ROW('03.Muestra'!$D$8:$D$42))+1,""),ROW()-18)),"")</f>
        <v>https://elecciones.comunidad.madrid/es/voto-correo/solicitud-voto-temporalmente-ausentes</v>
      </c>
      <c r="D29" s="99" t="s">
        <v>176</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174" t="str" cm="1">
        <f t="array" ref="B30">IFERROR(INDEX('03.Muestra'!$C$8:$C$42,SMALL(IF("Página Web"='03.Muestra'!$D$8:$D$42,ROW('03.Muestra'!$C$8:$C$42)-MIN(ROW('03.Muestra'!$D$8:$D$42))+1,""),ROW()-18)),"")</f>
        <v>Nuevo votante</v>
      </c>
      <c r="C30" s="174" t="str" cm="1">
        <f t="array" ref="C30">IFERROR(INDEX('03.Muestra'!$F$8:$F$42,SMALL(IF("Página Web"='03.Muestra'!$D$8:$D$42,ROW('03.Muestra'!$F$8:$F$42)-MIN(ROW('03.Muestra'!$D$8:$D$42))+1,""),ROW()-18)),"")</f>
        <v>https://elecciones.comunidad.madrid/es/votar/nuevo-votante</v>
      </c>
      <c r="D30" s="99" t="s">
        <v>176</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174" t="str" cm="1">
        <f t="array" ref="B31">IFERROR(INDEX('03.Muestra'!$C$8:$C$42,SMALL(IF("Página Web"='03.Muestra'!$D$8:$D$42,ROW('03.Muestra'!$C$8:$C$42)-MIN(ROW('03.Muestra'!$D$8:$D$42))+1,""),ROW()-18)),"")</f>
        <v>Simulación método D'Hondt</v>
      </c>
      <c r="C31" s="174" t="str" cm="1">
        <f t="array" ref="C31">IFERROR(INDEX('03.Muestra'!$F$8:$F$42,SMALL(IF("Página Web"='03.Muestra'!$D$8:$D$42,ROW('03.Muestra'!$F$8:$F$42)-MIN(ROW('03.Muestra'!$D$8:$D$42))+1,""),ROW()-18)),"")</f>
        <v>https://elecciones.comunidad.madrid/es/informacion-util/simulacion-metodo-dhondt</v>
      </c>
      <c r="D31" s="99" t="s">
        <v>176</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174" t="str" cm="1">
        <f t="array" ref="B32">IFERROR(INDEX('03.Muestra'!$C$8:$C$42,SMALL(IF("Página Web"='03.Muestra'!$D$8:$D$42,ROW('03.Muestra'!$C$8:$C$42)-MIN(ROW('03.Muestra'!$D$8:$D$42))+1,""),ROW()-18)),"")</f>
        <v>Ley D'Hondt</v>
      </c>
      <c r="C32" s="174" t="str" cm="1">
        <f t="array" ref="C32">IFERROR(INDEX('03.Muestra'!$F$8:$F$42,SMALL(IF("Página Web"='03.Muestra'!$D$8:$D$42,ROW('03.Muestra'!$F$8:$F$42)-MIN(ROW('03.Muestra'!$D$8:$D$42))+1,""),ROW()-18)),"")</f>
        <v>https://elecciones.comunidad.madrid/es/resultados/ley_d_hondt</v>
      </c>
      <c r="D32" s="99" t="s">
        <v>184</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174" t="str" cm="1">
        <f t="array" ref="B33">IFERROR(INDEX('03.Muestra'!$C$8:$C$42,SMALL(IF("Página Web"='03.Muestra'!$D$8:$D$42,ROW('03.Muestra'!$C$8:$C$42)-MIN(ROW('03.Muestra'!$D$8:$D$42))+1,""),ROW()-18)),"")</f>
        <v>Voto por correo elector CERA en España</v>
      </c>
      <c r="C33" s="174" t="str" cm="1">
        <f t="array" ref="C33">IFERROR(INDEX('03.Muestra'!$F$8:$F$42,SMALL(IF("Página Web"='03.Muestra'!$D$8:$D$42,ROW('03.Muestra'!$F$8:$F$42)-MIN(ROW('03.Muestra'!$D$8:$D$42))+1,""),ROW()-18)),"")</f>
        <v>https://elecciones.comunidad.madrid/es/preguntas-frecuentes/voto-correo-electores-residentes-extranjero</v>
      </c>
      <c r="D33" s="99" t="s">
        <v>176</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174" t="str" cm="1">
        <f t="array" ref="B34">IFERROR(INDEX('03.Muestra'!$C$8:$C$42,SMALL(IF("Página Web"='03.Muestra'!$D$8:$D$42,ROW('03.Muestra'!$C$8:$C$42)-MIN(ROW('03.Muestra'!$D$8:$D$42))+1,""),ROW()-18)),"")</f>
        <v>Contacto</v>
      </c>
      <c r="C34" s="174" t="str" cm="1">
        <f t="array" ref="C34">IFERROR(INDEX('03.Muestra'!$F$8:$F$42,SMALL(IF("Página Web"='03.Muestra'!$D$8:$D$42,ROW('03.Muestra'!$F$8:$F$42)-MIN(ROW('03.Muestra'!$D$8:$D$42))+1,""),ROW()-18)),"")</f>
        <v>https://elecciones.comunidad.madrid/es/buzon-de-sugerencias</v>
      </c>
      <c r="D34" s="99" t="s">
        <v>184</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174" t="str" cm="1">
        <f t="array" ref="B35">IFERROR(INDEX('03.Muestra'!$C$8:$C$42,SMALL(IF("Página Web"='03.Muestra'!$D$8:$D$42,ROW('03.Muestra'!$C$8:$C$42)-MIN(ROW('03.Muestra'!$D$8:$D$42))+1,""),ROW()-18)),"")</f>
        <v>Buscador</v>
      </c>
      <c r="C35" s="174" t="str" cm="1">
        <f t="array" ref="C35">IFERROR(INDEX('03.Muestra'!$F$8:$F$42,SMALL(IF("Página Web"='03.Muestra'!$D$8:$D$42,ROW('03.Muestra'!$F$8:$F$42)-MIN(ROW('03.Muestra'!$D$8:$D$42))+1,""),ROW()-18)),"")</f>
        <v>https://elecciones.comunidad.madrid/es/search?search_api_fulltext=partido</v>
      </c>
      <c r="D35" s="99" t="s">
        <v>184</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174" t="str" cm="1">
        <f t="array" ref="B36">IFERROR(INDEX('03.Muestra'!$C$8:$C$42,SMALL(IF("Página Web"='03.Muestra'!$D$8:$D$42,ROW('03.Muestra'!$C$8:$C$42)-MIN(ROW('03.Muestra'!$D$8:$D$42))+1,""),ROW()-18)),"")</f>
        <v>Aviso Legal-Privacidad</v>
      </c>
      <c r="C36" s="174" t="str" cm="1">
        <f t="array" ref="C36">IFERROR(INDEX('03.Muestra'!$F$8:$F$42,SMALL(IF("Página Web"='03.Muestra'!$D$8:$D$42,ROW('03.Muestra'!$F$8:$F$42)-MIN(ROW('03.Muestra'!$D$8:$D$42))+1,""),ROW()-18)),"")</f>
        <v>https://elecciones.comunidad.madrid/es/aviso-legal</v>
      </c>
      <c r="D36" s="99" t="s">
        <v>176</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174" t="str" cm="1">
        <f t="array" ref="B37">IFERROR(INDEX('03.Muestra'!$C$8:$C$42,SMALL(IF("Página Web"='03.Muestra'!$D$8:$D$42,ROW('03.Muestra'!$C$8:$C$42)-MIN(ROW('03.Muestra'!$D$8:$D$42))+1,""),ROW()-18)),"")</f>
        <v>Mapa Web</v>
      </c>
      <c r="C37" s="174" t="str" cm="1">
        <f t="array" ref="C37">IFERROR(INDEX('03.Muestra'!$F$8:$F$42,SMALL(IF("Página Web"='03.Muestra'!$D$8:$D$42,ROW('03.Muestra'!$F$8:$F$42)-MIN(ROW('03.Muestra'!$D$8:$D$42))+1,""),ROW()-18)),"")</f>
        <v>https://elecciones.comunidad.madrid/es/sitemap</v>
      </c>
      <c r="D37" s="99" t="s">
        <v>184</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174" t="str" cm="1">
        <f t="array" ref="B38">IFERROR(INDEX('03.Muestra'!$C$8:$C$42,SMALL(IF("Página Web"='03.Muestra'!$D$8:$D$42,ROW('03.Muestra'!$C$8:$C$42)-MIN(ROW('03.Muestra'!$D$8:$D$42))+1,""),ROW()-18)),"")</f>
        <v>Declaracion Accesibilidad</v>
      </c>
      <c r="C38" s="174" t="str" cm="1">
        <f t="array" ref="C38">IFERROR(INDEX('03.Muestra'!$F$8:$F$42,SMALL(IF("Página Web"='03.Muestra'!$D$8:$D$42,ROW('03.Muestra'!$F$8:$F$42)-MIN(ROW('03.Muestra'!$D$8:$D$42))+1,""),ROW()-18)),"")</f>
        <v>https://elecciones.comunidad.madrid/es/accesibilidad</v>
      </c>
      <c r="D38" s="99" t="s">
        <v>176</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181</v>
      </c>
      <c r="B56" s="23" t="s">
        <v>173</v>
      </c>
      <c r="C56" s="24" t="s">
        <v>190</v>
      </c>
      <c r="D56" s="25" t="s">
        <v>183</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Inicio</v>
      </c>
      <c r="C57" s="175" t="str" cm="1">
        <f t="array" ref="C57">IFERROR(INDEX('03.Muestra'!$F$8:$F$42,SMALL(IF("Página Web"='03.Muestra'!$D$8:$D$42,ROW('03.Muestra'!$F$8:$F$42)-MIN(ROW('03.Muestra'!$D$8:$D$42))+1,""),ROW()-56)),"")</f>
        <v>https://elecciones.comunidad.madrid/es</v>
      </c>
      <c r="D57" s="99" t="s">
        <v>184</v>
      </c>
      <c r="E57" s="79" t="str">
        <f t="shared" ref="E57:E91" si="2">IF(D57&lt;&gt;"",IF(AND(B57&lt;&gt;"",C57&lt;&gt;""),"","ERR"),"")</f>
        <v/>
      </c>
      <c r="F57" s="86" t="s">
        <v>185</v>
      </c>
      <c r="G57" s="87" t="s">
        <v>186</v>
      </c>
      <c r="H57" s="88" t="s">
        <v>184</v>
      </c>
      <c r="I57" s="89" t="s">
        <v>176</v>
      </c>
      <c r="J57" s="90" t="s">
        <v>174</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Resultado Elecciones 28M 2023</v>
      </c>
      <c r="C58" s="175" t="str" cm="1">
        <f t="array" ref="C58">IFERROR(INDEX('03.Muestra'!$F$8:$F$42,SMALL(IF("Página Web"='03.Muestra'!$D$8:$D$42,ROW('03.Muestra'!$F$8:$F$42)-MIN(ROW('03.Muestra'!$D$8:$D$42))+1,""),ROW()-56)),"")</f>
        <v>https://elecciones.comunidad.madrid/es/resultados-elecciones-asamblea-madrid-28m-2023</v>
      </c>
      <c r="D58" s="99" t="s">
        <v>184</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Normativa electoral</v>
      </c>
      <c r="C59" s="175" t="str" cm="1">
        <f t="array" ref="C59">IFERROR(INDEX('03.Muestra'!$F$8:$F$42,SMALL(IF("Página Web"='03.Muestra'!$D$8:$D$42,ROW('03.Muestra'!$F$8:$F$42)-MIN(ROW('03.Muestra'!$D$8:$D$42))+1,""),ROW()-56)),"")</f>
        <v>https://elecciones.comunidad.madrid/es/informacion-electoral/normativa-electoral</v>
      </c>
      <c r="D59" s="99" t="s">
        <v>184</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Calendario electoral</v>
      </c>
      <c r="C60" s="175" t="str" cm="1">
        <f t="array" ref="C60">IFERROR(INDEX('03.Muestra'!$F$8:$F$42,SMALL(IF("Página Web"='03.Muestra'!$D$8:$D$42,ROW('03.Muestra'!$F$8:$F$42)-MIN(ROW('03.Muestra'!$D$8:$D$42))+1,""),ROW()-56)),"")</f>
        <v>https://elecciones.comunidad.madrid/es/informacion-electoral/calendario-electoral</v>
      </c>
      <c r="D60" s="99" t="s">
        <v>184</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Direcciones y teléfonos</v>
      </c>
      <c r="C61" s="175" t="str" cm="1">
        <f t="array" ref="C61">IFERROR(INDEX('03.Muestra'!$F$8:$F$42,SMALL(IF("Página Web"='03.Muestra'!$D$8:$D$42,ROW('03.Muestra'!$F$8:$F$42)-MIN(ROW('03.Muestra'!$D$8:$D$42))+1,""),ROW()-56)),"")</f>
        <v>https://elecciones.comunidad.madrid/es/juntas-electorales/direcciones-telefonos</v>
      </c>
      <c r="D61" s="99" t="s">
        <v>184</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Impresos electrónicos</v>
      </c>
      <c r="C62" s="175" t="str" cm="1">
        <f t="array" ref="C62">IFERROR(INDEX('03.Muestra'!$F$8:$F$42,SMALL(IF("Página Web"='03.Muestra'!$D$8:$D$42,ROW('03.Muestra'!$F$8:$F$42)-MIN(ROW('03.Muestra'!$D$8:$D$42))+1,""),ROW()-56)),"")</f>
        <v>https://elecciones.comunidad.madrid/es/formaciones-politicas/impresos-electronicos</v>
      </c>
      <c r="D62" s="99" t="s">
        <v>184</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Listado de candidaturas</v>
      </c>
      <c r="C63" s="175" t="str" cm="1">
        <f t="array" ref="C63">IFERROR(INDEX('03.Muestra'!$F$8:$F$42,SMALL(IF("Página Web"='03.Muestra'!$D$8:$D$42,ROW('03.Muestra'!$F$8:$F$42)-MIN(ROW('03.Muestra'!$D$8:$D$42))+1,""),ROW()-56)),"")</f>
        <v>https://elecciones.comunidad.madrid/es/formaciones-politicas/listado-candidaturas-proclamadas</v>
      </c>
      <c r="D63" s="99" t="s">
        <v>184</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cm="1">
        <f t="array" ref="A64">IFERROR(INDEX('03.Muestra'!$B$8:$B$42,SMALL(IF("Página Web"='03.Muestra'!$D$8:$D$42,ROW('03.Muestra'!$B$8:$B$42)-MIN(ROW('03.Muestra'!$D$8:$D$42))+1,""),ROW()-56)),"")</f>
        <v>8</v>
      </c>
      <c r="B64" s="175" t="str" cm="1">
        <f t="array" ref="B64">IFERROR(INDEX('03.Muestra'!$C$8:$C$42,SMALL(IF("Página Web"='03.Muestra'!$D$8:$D$42,ROW('03.Muestra'!$C$8:$C$42)-MIN(ROW('03.Muestra'!$D$8:$D$42))+1,""),ROW()-56)),"")</f>
        <v>Partido Feminista de España</v>
      </c>
      <c r="C64" s="175" t="str" cm="1">
        <f t="array" ref="C64">IFERROR(INDEX('03.Muestra'!$F$8:$F$42,SMALL(IF("Página Web"='03.Muestra'!$D$8:$D$42,ROW('03.Muestra'!$F$8:$F$42)-MIN(ROW('03.Muestra'!$D$8:$D$42))+1,""),ROW()-56)),"")</f>
        <v>https://elecciones.comunidad.madrid/es/formaciones-politicas/listado-candidaturas/partido-feminista-espana</v>
      </c>
      <c r="D64" s="99" t="s">
        <v>184</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cm="1">
        <f t="array" ref="A65">IFERROR(INDEX('03.Muestra'!$B$8:$B$42,SMALL(IF("Página Web"='03.Muestra'!$D$8:$D$42,ROW('03.Muestra'!$B$8:$B$42)-MIN(ROW('03.Muestra'!$D$8:$D$42))+1,""),ROW()-56)),"")</f>
        <v>9</v>
      </c>
      <c r="B65" s="175" t="str" cm="1">
        <f t="array" ref="B65">IFERROR(INDEX('03.Muestra'!$C$8:$C$42,SMALL(IF("Página Web"='03.Muestra'!$D$8:$D$42,ROW('03.Muestra'!$C$8:$C$42)-MIN(ROW('03.Muestra'!$D$8:$D$42))+1,""),ROW()-56)),"")</f>
        <v>¿Dónde voto?</v>
      </c>
      <c r="C65" s="175" t="str" cm="1">
        <f t="array" ref="C65">IFERROR(INDEX('03.Muestra'!$F$8:$F$42,SMALL(IF("Página Web"='03.Muestra'!$D$8:$D$42,ROW('03.Muestra'!$F$8:$F$42)-MIN(ROW('03.Muestra'!$D$8:$D$42))+1,""),ROW()-56)),"")</f>
        <v>https://elecciones.comunidad.madrid/es/votar/donde-voto</v>
      </c>
      <c r="D65" s="99" t="s">
        <v>184</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cm="1">
        <f t="array" ref="A66">IFERROR(INDEX('03.Muestra'!$B$8:$B$42,SMALL(IF("Página Web"='03.Muestra'!$D$8:$D$42,ROW('03.Muestra'!$B$8:$B$42)-MIN(ROW('03.Muestra'!$D$8:$D$42))+1,""),ROW()-56)),"")</f>
        <v>10</v>
      </c>
      <c r="B66" s="175" t="str" cm="1">
        <f t="array" ref="B66">IFERROR(INDEX('03.Muestra'!$C$8:$C$42,SMALL(IF("Página Web"='03.Muestra'!$D$8:$D$42,ROW('03.Muestra'!$C$8:$C$42)-MIN(ROW('03.Muestra'!$D$8:$D$42))+1,""),ROW()-56)),"")</f>
        <v>Voto presencial</v>
      </c>
      <c r="C66" s="175" t="str" cm="1">
        <f t="array" ref="C66">IFERROR(INDEX('03.Muestra'!$F$8:$F$42,SMALL(IF("Página Web"='03.Muestra'!$D$8:$D$42,ROW('03.Muestra'!$F$8:$F$42)-MIN(ROW('03.Muestra'!$D$8:$D$42))+1,""),ROW()-56)),"")</f>
        <v>https://elecciones.comunidad.madrid/es/voto-local-electoral/voto-presencial</v>
      </c>
      <c r="D66" s="99" t="s">
        <v>184</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cm="1">
        <f t="array" ref="A67">IFERROR(INDEX('03.Muestra'!$B$8:$B$42,SMALL(IF("Página Web"='03.Muestra'!$D$8:$D$42,ROW('03.Muestra'!$B$8:$B$42)-MIN(ROW('03.Muestra'!$D$8:$D$42))+1,""),ROW()-56)),"")</f>
        <v>11</v>
      </c>
      <c r="B67" s="175" t="str" cm="1">
        <f t="array" ref="B67">IFERROR(INDEX('03.Muestra'!$C$8:$C$42,SMALL(IF("Página Web"='03.Muestra'!$D$8:$D$42,ROW('03.Muestra'!$C$8:$C$42)-MIN(ROW('03.Muestra'!$D$8:$D$42))+1,""),ROW()-56)),"")</f>
        <v>Ciudadanos temporalmente en el extranjero</v>
      </c>
      <c r="C67" s="175" t="str" cm="1">
        <f t="array" ref="C67">IFERROR(INDEX('03.Muestra'!$F$8:$F$42,SMALL(IF("Página Web"='03.Muestra'!$D$8:$D$42,ROW('03.Muestra'!$F$8:$F$42)-MIN(ROW('03.Muestra'!$D$8:$D$42))+1,""),ROW()-56)),"")</f>
        <v>https://elecciones.comunidad.madrid/es/voto-correo/solicitud-voto-temporalmente-ausentes</v>
      </c>
      <c r="D67" s="99" t="s">
        <v>184</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cm="1">
        <f t="array" ref="A68">IFERROR(INDEX('03.Muestra'!$B$8:$B$42,SMALL(IF("Página Web"='03.Muestra'!$D$8:$D$42,ROW('03.Muestra'!$B$8:$B$42)-MIN(ROW('03.Muestra'!$D$8:$D$42))+1,""),ROW()-56)),"")</f>
        <v>12</v>
      </c>
      <c r="B68" s="175" t="str" cm="1">
        <f t="array" ref="B68">IFERROR(INDEX('03.Muestra'!$C$8:$C$42,SMALL(IF("Página Web"='03.Muestra'!$D$8:$D$42,ROW('03.Muestra'!$C$8:$C$42)-MIN(ROW('03.Muestra'!$D$8:$D$42))+1,""),ROW()-56)),"")</f>
        <v>Nuevo votante</v>
      </c>
      <c r="C68" s="175" t="str" cm="1">
        <f t="array" ref="C68">IFERROR(INDEX('03.Muestra'!$F$8:$F$42,SMALL(IF("Página Web"='03.Muestra'!$D$8:$D$42,ROW('03.Muestra'!$F$8:$F$42)-MIN(ROW('03.Muestra'!$D$8:$D$42))+1,""),ROW()-56)),"")</f>
        <v>https://elecciones.comunidad.madrid/es/votar/nuevo-votante</v>
      </c>
      <c r="D68" s="99" t="s">
        <v>184</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cm="1">
        <f t="array" ref="A69">IFERROR(INDEX('03.Muestra'!$B$8:$B$42,SMALL(IF("Página Web"='03.Muestra'!$D$8:$D$42,ROW('03.Muestra'!$B$8:$B$42)-MIN(ROW('03.Muestra'!$D$8:$D$42))+1,""),ROW()-56)),"")</f>
        <v>13</v>
      </c>
      <c r="B69" s="175" t="str" cm="1">
        <f t="array" ref="B69">IFERROR(INDEX('03.Muestra'!$C$8:$C$42,SMALL(IF("Página Web"='03.Muestra'!$D$8:$D$42,ROW('03.Muestra'!$C$8:$C$42)-MIN(ROW('03.Muestra'!$D$8:$D$42))+1,""),ROW()-56)),"")</f>
        <v>Simulación método D'Hondt</v>
      </c>
      <c r="C69" s="175" t="str" cm="1">
        <f t="array" ref="C69">IFERROR(INDEX('03.Muestra'!$F$8:$F$42,SMALL(IF("Página Web"='03.Muestra'!$D$8:$D$42,ROW('03.Muestra'!$F$8:$F$42)-MIN(ROW('03.Muestra'!$D$8:$D$42))+1,""),ROW()-56)),"")</f>
        <v>https://elecciones.comunidad.madrid/es/informacion-util/simulacion-metodo-dhondt</v>
      </c>
      <c r="D69" s="99" t="s">
        <v>184</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cm="1">
        <f t="array" ref="A70">IFERROR(INDEX('03.Muestra'!$B$8:$B$42,SMALL(IF("Página Web"='03.Muestra'!$D$8:$D$42,ROW('03.Muestra'!$B$8:$B$42)-MIN(ROW('03.Muestra'!$D$8:$D$42))+1,""),ROW()-56)),"")</f>
        <v>14</v>
      </c>
      <c r="B70" s="175" t="str" cm="1">
        <f t="array" ref="B70">IFERROR(INDEX('03.Muestra'!$C$8:$C$42,SMALL(IF("Página Web"='03.Muestra'!$D$8:$D$42,ROW('03.Muestra'!$C$8:$C$42)-MIN(ROW('03.Muestra'!$D$8:$D$42))+1,""),ROW()-56)),"")</f>
        <v>Ley D'Hondt</v>
      </c>
      <c r="C70" s="175" t="str" cm="1">
        <f t="array" ref="C70">IFERROR(INDEX('03.Muestra'!$F$8:$F$42,SMALL(IF("Página Web"='03.Muestra'!$D$8:$D$42,ROW('03.Muestra'!$F$8:$F$42)-MIN(ROW('03.Muestra'!$D$8:$D$42))+1,""),ROW()-56)),"")</f>
        <v>https://elecciones.comunidad.madrid/es/resultados/ley_d_hondt</v>
      </c>
      <c r="D70" s="99" t="s">
        <v>184</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cm="1">
        <f t="array" ref="A71">IFERROR(INDEX('03.Muestra'!$B$8:$B$42,SMALL(IF("Página Web"='03.Muestra'!$D$8:$D$42,ROW('03.Muestra'!$B$8:$B$42)-MIN(ROW('03.Muestra'!$D$8:$D$42))+1,""),ROW()-56)),"")</f>
        <v>15</v>
      </c>
      <c r="B71" s="175" t="str" cm="1">
        <f t="array" ref="B71">IFERROR(INDEX('03.Muestra'!$C$8:$C$42,SMALL(IF("Página Web"='03.Muestra'!$D$8:$D$42,ROW('03.Muestra'!$C$8:$C$42)-MIN(ROW('03.Muestra'!$D$8:$D$42))+1,""),ROW()-56)),"")</f>
        <v>Voto por correo elector CERA en España</v>
      </c>
      <c r="C71" s="175" t="str" cm="1">
        <f t="array" ref="C71">IFERROR(INDEX('03.Muestra'!$F$8:$F$42,SMALL(IF("Página Web"='03.Muestra'!$D$8:$D$42,ROW('03.Muestra'!$F$8:$F$42)-MIN(ROW('03.Muestra'!$D$8:$D$42))+1,""),ROW()-56)),"")</f>
        <v>https://elecciones.comunidad.madrid/es/preguntas-frecuentes/voto-correo-electores-residentes-extranjero</v>
      </c>
      <c r="D71" s="99" t="s">
        <v>184</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cm="1">
        <f t="array" ref="A72">IFERROR(INDEX('03.Muestra'!$B$8:$B$42,SMALL(IF("Página Web"='03.Muestra'!$D$8:$D$42,ROW('03.Muestra'!$B$8:$B$42)-MIN(ROW('03.Muestra'!$D$8:$D$42))+1,""),ROW()-56)),"")</f>
        <v>16</v>
      </c>
      <c r="B72" s="175" t="str" cm="1">
        <f t="array" ref="B72">IFERROR(INDEX('03.Muestra'!$C$8:$C$42,SMALL(IF("Página Web"='03.Muestra'!$D$8:$D$42,ROW('03.Muestra'!$C$8:$C$42)-MIN(ROW('03.Muestra'!$D$8:$D$42))+1,""),ROW()-56)),"")</f>
        <v>Contacto</v>
      </c>
      <c r="C72" s="175" t="str" cm="1">
        <f t="array" ref="C72">IFERROR(INDEX('03.Muestra'!$F$8:$F$42,SMALL(IF("Página Web"='03.Muestra'!$D$8:$D$42,ROW('03.Muestra'!$F$8:$F$42)-MIN(ROW('03.Muestra'!$D$8:$D$42))+1,""),ROW()-56)),"")</f>
        <v>https://elecciones.comunidad.madrid/es/buzon-de-sugerencias</v>
      </c>
      <c r="D72" s="99" t="s">
        <v>184</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cm="1">
        <f t="array" ref="A73">IFERROR(INDEX('03.Muestra'!$B$8:$B$42,SMALL(IF("Página Web"='03.Muestra'!$D$8:$D$42,ROW('03.Muestra'!$B$8:$B$42)-MIN(ROW('03.Muestra'!$D$8:$D$42))+1,""),ROW()-56)),"")</f>
        <v>17</v>
      </c>
      <c r="B73" s="175" t="str" cm="1">
        <f t="array" ref="B73">IFERROR(INDEX('03.Muestra'!$C$8:$C$42,SMALL(IF("Página Web"='03.Muestra'!$D$8:$D$42,ROW('03.Muestra'!$C$8:$C$42)-MIN(ROW('03.Muestra'!$D$8:$D$42))+1,""),ROW()-56)),"")</f>
        <v>Buscador</v>
      </c>
      <c r="C73" s="175" t="str" cm="1">
        <f t="array" ref="C73">IFERROR(INDEX('03.Muestra'!$F$8:$F$42,SMALL(IF("Página Web"='03.Muestra'!$D$8:$D$42,ROW('03.Muestra'!$F$8:$F$42)-MIN(ROW('03.Muestra'!$D$8:$D$42))+1,""),ROW()-56)),"")</f>
        <v>https://elecciones.comunidad.madrid/es/search?search_api_fulltext=partido</v>
      </c>
      <c r="D73" s="99" t="s">
        <v>184</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cm="1">
        <f t="array" ref="A74">IFERROR(INDEX('03.Muestra'!$B$8:$B$42,SMALL(IF("Página Web"='03.Muestra'!$D$8:$D$42,ROW('03.Muestra'!$B$8:$B$42)-MIN(ROW('03.Muestra'!$D$8:$D$42))+1,""),ROW()-56)),"")</f>
        <v>18</v>
      </c>
      <c r="B74" s="175" t="str" cm="1">
        <f t="array" ref="B74">IFERROR(INDEX('03.Muestra'!$C$8:$C$42,SMALL(IF("Página Web"='03.Muestra'!$D$8:$D$42,ROW('03.Muestra'!$C$8:$C$42)-MIN(ROW('03.Muestra'!$D$8:$D$42))+1,""),ROW()-56)),"")</f>
        <v>Aviso Legal-Privacidad</v>
      </c>
      <c r="C74" s="175" t="str" cm="1">
        <f t="array" ref="C74">IFERROR(INDEX('03.Muestra'!$F$8:$F$42,SMALL(IF("Página Web"='03.Muestra'!$D$8:$D$42,ROW('03.Muestra'!$F$8:$F$42)-MIN(ROW('03.Muestra'!$D$8:$D$42))+1,""),ROW()-56)),"")</f>
        <v>https://elecciones.comunidad.madrid/es/aviso-legal</v>
      </c>
      <c r="D74" s="99" t="s">
        <v>184</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cm="1">
        <f t="array" ref="A75">IFERROR(INDEX('03.Muestra'!$B$8:$B$42,SMALL(IF("Página Web"='03.Muestra'!$D$8:$D$42,ROW('03.Muestra'!$B$8:$B$42)-MIN(ROW('03.Muestra'!$D$8:$D$42))+1,""),ROW()-56)),"")</f>
        <v>19</v>
      </c>
      <c r="B75" s="175" t="str" cm="1">
        <f t="array" ref="B75">IFERROR(INDEX('03.Muestra'!$C$8:$C$42,SMALL(IF("Página Web"='03.Muestra'!$D$8:$D$42,ROW('03.Muestra'!$C$8:$C$42)-MIN(ROW('03.Muestra'!$D$8:$D$42))+1,""),ROW()-56)),"")</f>
        <v>Mapa Web</v>
      </c>
      <c r="C75" s="175" t="str" cm="1">
        <f t="array" ref="C75">IFERROR(INDEX('03.Muestra'!$F$8:$F$42,SMALL(IF("Página Web"='03.Muestra'!$D$8:$D$42,ROW('03.Muestra'!$F$8:$F$42)-MIN(ROW('03.Muestra'!$D$8:$D$42))+1,""),ROW()-56)),"")</f>
        <v>https://elecciones.comunidad.madrid/es/sitemap</v>
      </c>
      <c r="D75" s="99" t="s">
        <v>184</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cm="1">
        <f t="array" ref="A76">IFERROR(INDEX('03.Muestra'!$B$8:$B$42,SMALL(IF("Página Web"='03.Muestra'!$D$8:$D$42,ROW('03.Muestra'!$B$8:$B$42)-MIN(ROW('03.Muestra'!$D$8:$D$42))+1,""),ROW()-56)),"")</f>
        <v>20</v>
      </c>
      <c r="B76" s="175" t="str" cm="1">
        <f t="array" ref="B76">IFERROR(INDEX('03.Muestra'!$C$8:$C$42,SMALL(IF("Página Web"='03.Muestra'!$D$8:$D$42,ROW('03.Muestra'!$C$8:$C$42)-MIN(ROW('03.Muestra'!$D$8:$D$42))+1,""),ROW()-56)),"")</f>
        <v>Declaracion Accesibilidad</v>
      </c>
      <c r="C76" s="175" t="str" cm="1">
        <f t="array" ref="C76">IFERROR(INDEX('03.Muestra'!$F$8:$F$42,SMALL(IF("Página Web"='03.Muestra'!$D$8:$D$42,ROW('03.Muestra'!$F$8:$F$42)-MIN(ROW('03.Muestra'!$D$8:$D$42))+1,""),ROW()-56)),"")</f>
        <v>https://elecciones.comunidad.madrid/es/accesibilidad</v>
      </c>
      <c r="D76" s="99" t="s">
        <v>184</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181</v>
      </c>
      <c r="B94" s="23" t="s">
        <v>173</v>
      </c>
      <c r="C94" s="24" t="s">
        <v>191</v>
      </c>
      <c r="D94" s="25" t="s">
        <v>183</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Inicio</v>
      </c>
      <c r="C95" s="175" t="str" cm="1">
        <f t="array" ref="C95">IFERROR(INDEX('03.Muestra'!$F$8:$F$42,SMALL(IF("Página Web"='03.Muestra'!$D$8:$D$42,ROW('03.Muestra'!$F$8:$F$42)-MIN(ROW('03.Muestra'!$D$8:$D$42))+1,""),ROW()-94)),"")</f>
        <v>https://elecciones.comunidad.madrid/es</v>
      </c>
      <c r="D95" s="99" t="s">
        <v>184</v>
      </c>
      <c r="E95" s="79" t="str">
        <f t="shared" ref="E95:E129" si="4">IF(D95&lt;&gt;"",IF(AND(B95&lt;&gt;"",C95&lt;&gt;""),"","ERR"),"")</f>
        <v/>
      </c>
      <c r="F95" s="86" t="s">
        <v>185</v>
      </c>
      <c r="G95" s="87" t="s">
        <v>186</v>
      </c>
      <c r="H95" s="88" t="s">
        <v>184</v>
      </c>
      <c r="I95" s="89" t="s">
        <v>176</v>
      </c>
      <c r="J95" s="90" t="s">
        <v>174</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Resultado Elecciones 28M 2023</v>
      </c>
      <c r="C96" s="175" t="str" cm="1">
        <f t="array" ref="C96">IFERROR(INDEX('03.Muestra'!$F$8:$F$42,SMALL(IF("Página Web"='03.Muestra'!$D$8:$D$42,ROW('03.Muestra'!$F$8:$F$42)-MIN(ROW('03.Muestra'!$D$8:$D$42))+1,""),ROW()-94)),"")</f>
        <v>https://elecciones.comunidad.madrid/es/resultados-elecciones-asamblea-madrid-28m-2023</v>
      </c>
      <c r="D96" s="99" t="s">
        <v>184</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Normativa electoral</v>
      </c>
      <c r="C97" s="175" t="str" cm="1">
        <f t="array" ref="C97">IFERROR(INDEX('03.Muestra'!$F$8:$F$42,SMALL(IF("Página Web"='03.Muestra'!$D$8:$D$42,ROW('03.Muestra'!$F$8:$F$42)-MIN(ROW('03.Muestra'!$D$8:$D$42))+1,""),ROW()-94)),"")</f>
        <v>https://elecciones.comunidad.madrid/es/informacion-electoral/normativa-electoral</v>
      </c>
      <c r="D97" s="99" t="s">
        <v>184</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Calendario electoral</v>
      </c>
      <c r="C98" s="175" t="str" cm="1">
        <f t="array" ref="C98">IFERROR(INDEX('03.Muestra'!$F$8:$F$42,SMALL(IF("Página Web"='03.Muestra'!$D$8:$D$42,ROW('03.Muestra'!$F$8:$F$42)-MIN(ROW('03.Muestra'!$D$8:$D$42))+1,""),ROW()-94)),"")</f>
        <v>https://elecciones.comunidad.madrid/es/informacion-electoral/calendario-electoral</v>
      </c>
      <c r="D98" s="99" t="s">
        <v>184</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Direcciones y teléfonos</v>
      </c>
      <c r="C99" s="175" t="str" cm="1">
        <f t="array" ref="C99">IFERROR(INDEX('03.Muestra'!$F$8:$F$42,SMALL(IF("Página Web"='03.Muestra'!$D$8:$D$42,ROW('03.Muestra'!$F$8:$F$42)-MIN(ROW('03.Muestra'!$D$8:$D$42))+1,""),ROW()-94)),"")</f>
        <v>https://elecciones.comunidad.madrid/es/juntas-electorales/direcciones-telefonos</v>
      </c>
      <c r="D99" s="99" t="s">
        <v>184</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Impresos electrónicos</v>
      </c>
      <c r="C100" s="175" t="str" cm="1">
        <f t="array" ref="C100">IFERROR(INDEX('03.Muestra'!$F$8:$F$42,SMALL(IF("Página Web"='03.Muestra'!$D$8:$D$42,ROW('03.Muestra'!$F$8:$F$42)-MIN(ROW('03.Muestra'!$D$8:$D$42))+1,""),ROW()-94)),"")</f>
        <v>https://elecciones.comunidad.madrid/es/formaciones-politicas/impresos-electronicos</v>
      </c>
      <c r="D100" s="99" t="s">
        <v>184</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Listado de candidaturas</v>
      </c>
      <c r="C101" s="175" t="str" cm="1">
        <f t="array" ref="C101">IFERROR(INDEX('03.Muestra'!$F$8:$F$42,SMALL(IF("Página Web"='03.Muestra'!$D$8:$D$42,ROW('03.Muestra'!$F$8:$F$42)-MIN(ROW('03.Muestra'!$D$8:$D$42))+1,""),ROW()-94)),"")</f>
        <v>https://elecciones.comunidad.madrid/es/formaciones-politicas/listado-candidaturas-proclamadas</v>
      </c>
      <c r="D101" s="99" t="s">
        <v>184</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cm="1">
        <f t="array" ref="A102">IFERROR(INDEX('03.Muestra'!$B$8:$B$42,SMALL(IF("Página Web"='03.Muestra'!$D$8:$D$42,ROW('03.Muestra'!$B$8:$B$42)-MIN(ROW('03.Muestra'!$D$8:$D$42))+1,""),ROW()-94)),"")</f>
        <v>8</v>
      </c>
      <c r="B102" s="175" t="str" cm="1">
        <f t="array" ref="B102">IFERROR(INDEX('03.Muestra'!$C$8:$C$42,SMALL(IF("Página Web"='03.Muestra'!$D$8:$D$42,ROW('03.Muestra'!$C$8:$C$42)-MIN(ROW('03.Muestra'!$D$8:$D$42))+1,""),ROW()-94)),"")</f>
        <v>Partido Feminista de España</v>
      </c>
      <c r="C102" s="175" t="str" cm="1">
        <f t="array" ref="C102">IFERROR(INDEX('03.Muestra'!$F$8:$F$42,SMALL(IF("Página Web"='03.Muestra'!$D$8:$D$42,ROW('03.Muestra'!$F$8:$F$42)-MIN(ROW('03.Muestra'!$D$8:$D$42))+1,""),ROW()-94)),"")</f>
        <v>https://elecciones.comunidad.madrid/es/formaciones-politicas/listado-candidaturas/partido-feminista-espana</v>
      </c>
      <c r="D102" s="99" t="s">
        <v>184</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cm="1">
        <f t="array" ref="A103">IFERROR(INDEX('03.Muestra'!$B$8:$B$42,SMALL(IF("Página Web"='03.Muestra'!$D$8:$D$42,ROW('03.Muestra'!$B$8:$B$42)-MIN(ROW('03.Muestra'!$D$8:$D$42))+1,""),ROW()-94)),"")</f>
        <v>9</v>
      </c>
      <c r="B103" s="175" t="str" cm="1">
        <f t="array" ref="B103">IFERROR(INDEX('03.Muestra'!$C$8:$C$42,SMALL(IF("Página Web"='03.Muestra'!$D$8:$D$42,ROW('03.Muestra'!$C$8:$C$42)-MIN(ROW('03.Muestra'!$D$8:$D$42))+1,""),ROW()-94)),"")</f>
        <v>¿Dónde voto?</v>
      </c>
      <c r="C103" s="175" t="str" cm="1">
        <f t="array" ref="C103">IFERROR(INDEX('03.Muestra'!$F$8:$F$42,SMALL(IF("Página Web"='03.Muestra'!$D$8:$D$42,ROW('03.Muestra'!$F$8:$F$42)-MIN(ROW('03.Muestra'!$D$8:$D$42))+1,""),ROW()-94)),"")</f>
        <v>https://elecciones.comunidad.madrid/es/votar/donde-voto</v>
      </c>
      <c r="D103" s="99" t="s">
        <v>184</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cm="1">
        <f t="array" ref="A104">IFERROR(INDEX('03.Muestra'!$B$8:$B$42,SMALL(IF("Página Web"='03.Muestra'!$D$8:$D$42,ROW('03.Muestra'!$B$8:$B$42)-MIN(ROW('03.Muestra'!$D$8:$D$42))+1,""),ROW()-94)),"")</f>
        <v>10</v>
      </c>
      <c r="B104" s="175" t="str" cm="1">
        <f t="array" ref="B104">IFERROR(INDEX('03.Muestra'!$C$8:$C$42,SMALL(IF("Página Web"='03.Muestra'!$D$8:$D$42,ROW('03.Muestra'!$C$8:$C$42)-MIN(ROW('03.Muestra'!$D$8:$D$42))+1,""),ROW()-94)),"")</f>
        <v>Voto presencial</v>
      </c>
      <c r="C104" s="175" t="str" cm="1">
        <f t="array" ref="C104">IFERROR(INDEX('03.Muestra'!$F$8:$F$42,SMALL(IF("Página Web"='03.Muestra'!$D$8:$D$42,ROW('03.Muestra'!$F$8:$F$42)-MIN(ROW('03.Muestra'!$D$8:$D$42))+1,""),ROW()-94)),"")</f>
        <v>https://elecciones.comunidad.madrid/es/voto-local-electoral/voto-presencial</v>
      </c>
      <c r="D104" s="99" t="s">
        <v>184</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cm="1">
        <f t="array" ref="A105">IFERROR(INDEX('03.Muestra'!$B$8:$B$42,SMALL(IF("Página Web"='03.Muestra'!$D$8:$D$42,ROW('03.Muestra'!$B$8:$B$42)-MIN(ROW('03.Muestra'!$D$8:$D$42))+1,""),ROW()-94)),"")</f>
        <v>11</v>
      </c>
      <c r="B105" s="175" t="str" cm="1">
        <f t="array" ref="B105">IFERROR(INDEX('03.Muestra'!$C$8:$C$42,SMALL(IF("Página Web"='03.Muestra'!$D$8:$D$42,ROW('03.Muestra'!$C$8:$C$42)-MIN(ROW('03.Muestra'!$D$8:$D$42))+1,""),ROW()-94)),"")</f>
        <v>Ciudadanos temporalmente en el extranjero</v>
      </c>
      <c r="C105" s="175" t="str" cm="1">
        <f t="array" ref="C105">IFERROR(INDEX('03.Muestra'!$F$8:$F$42,SMALL(IF("Página Web"='03.Muestra'!$D$8:$D$42,ROW('03.Muestra'!$F$8:$F$42)-MIN(ROW('03.Muestra'!$D$8:$D$42))+1,""),ROW()-94)),"")</f>
        <v>https://elecciones.comunidad.madrid/es/voto-correo/solicitud-voto-temporalmente-ausentes</v>
      </c>
      <c r="D105" s="99" t="s">
        <v>184</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cm="1">
        <f t="array" ref="A106">IFERROR(INDEX('03.Muestra'!$B$8:$B$42,SMALL(IF("Página Web"='03.Muestra'!$D$8:$D$42,ROW('03.Muestra'!$B$8:$B$42)-MIN(ROW('03.Muestra'!$D$8:$D$42))+1,""),ROW()-94)),"")</f>
        <v>12</v>
      </c>
      <c r="B106" s="175" t="str" cm="1">
        <f t="array" ref="B106">IFERROR(INDEX('03.Muestra'!$C$8:$C$42,SMALL(IF("Página Web"='03.Muestra'!$D$8:$D$42,ROW('03.Muestra'!$C$8:$C$42)-MIN(ROW('03.Muestra'!$D$8:$D$42))+1,""),ROW()-94)),"")</f>
        <v>Nuevo votante</v>
      </c>
      <c r="C106" s="175" t="str" cm="1">
        <f t="array" ref="C106">IFERROR(INDEX('03.Muestra'!$F$8:$F$42,SMALL(IF("Página Web"='03.Muestra'!$D$8:$D$42,ROW('03.Muestra'!$F$8:$F$42)-MIN(ROW('03.Muestra'!$D$8:$D$42))+1,""),ROW()-94)),"")</f>
        <v>https://elecciones.comunidad.madrid/es/votar/nuevo-votante</v>
      </c>
      <c r="D106" s="99" t="s">
        <v>184</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15" customHeight="1">
      <c r="A107" s="176" cm="1">
        <f t="array" ref="A107">IFERROR(INDEX('03.Muestra'!$B$8:$B$42,SMALL(IF("Página Web"='03.Muestra'!$D$8:$D$42,ROW('03.Muestra'!$B$8:$B$42)-MIN(ROW('03.Muestra'!$D$8:$D$42))+1,""),ROW()-94)),"")</f>
        <v>13</v>
      </c>
      <c r="B107" s="175" t="str" cm="1">
        <f t="array" ref="B107">IFERROR(INDEX('03.Muestra'!$C$8:$C$42,SMALL(IF("Página Web"='03.Muestra'!$D$8:$D$42,ROW('03.Muestra'!$C$8:$C$42)-MIN(ROW('03.Muestra'!$D$8:$D$42))+1,""),ROW()-94)),"")</f>
        <v>Simulación método D'Hondt</v>
      </c>
      <c r="C107" s="175" t="str" cm="1">
        <f t="array" ref="C107">IFERROR(INDEX('03.Muestra'!$F$8:$F$42,SMALL(IF("Página Web"='03.Muestra'!$D$8:$D$42,ROW('03.Muestra'!$F$8:$F$42)-MIN(ROW('03.Muestra'!$D$8:$D$42))+1,""),ROW()-94)),"")</f>
        <v>https://elecciones.comunidad.madrid/es/informacion-util/simulacion-metodo-dhondt</v>
      </c>
      <c r="D107" s="99" t="s">
        <v>184</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15" customHeight="1">
      <c r="A108" s="176" cm="1">
        <f t="array" ref="A108">IFERROR(INDEX('03.Muestra'!$B$8:$B$42,SMALL(IF("Página Web"='03.Muestra'!$D$8:$D$42,ROW('03.Muestra'!$B$8:$B$42)-MIN(ROW('03.Muestra'!$D$8:$D$42))+1,""),ROW()-94)),"")</f>
        <v>14</v>
      </c>
      <c r="B108" s="175" t="str" cm="1">
        <f t="array" ref="B108">IFERROR(INDEX('03.Muestra'!$C$8:$C$42,SMALL(IF("Página Web"='03.Muestra'!$D$8:$D$42,ROW('03.Muestra'!$C$8:$C$42)-MIN(ROW('03.Muestra'!$D$8:$D$42))+1,""),ROW()-94)),"")</f>
        <v>Ley D'Hondt</v>
      </c>
      <c r="C108" s="175" t="str" cm="1">
        <f t="array" ref="C108">IFERROR(INDEX('03.Muestra'!$F$8:$F$42,SMALL(IF("Página Web"='03.Muestra'!$D$8:$D$42,ROW('03.Muestra'!$F$8:$F$42)-MIN(ROW('03.Muestra'!$D$8:$D$42))+1,""),ROW()-94)),"")</f>
        <v>https://elecciones.comunidad.madrid/es/resultados/ley_d_hondt</v>
      </c>
      <c r="D108" s="99" t="s">
        <v>184</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15" customHeight="1">
      <c r="A109" s="176" cm="1">
        <f t="array" ref="A109">IFERROR(INDEX('03.Muestra'!$B$8:$B$42,SMALL(IF("Página Web"='03.Muestra'!$D$8:$D$42,ROW('03.Muestra'!$B$8:$B$42)-MIN(ROW('03.Muestra'!$D$8:$D$42))+1,""),ROW()-94)),"")</f>
        <v>15</v>
      </c>
      <c r="B109" s="175" t="str" cm="1">
        <f t="array" ref="B109">IFERROR(INDEX('03.Muestra'!$C$8:$C$42,SMALL(IF("Página Web"='03.Muestra'!$D$8:$D$42,ROW('03.Muestra'!$C$8:$C$42)-MIN(ROW('03.Muestra'!$D$8:$D$42))+1,""),ROW()-94)),"")</f>
        <v>Voto por correo elector CERA en España</v>
      </c>
      <c r="C109" s="175" t="str" cm="1">
        <f t="array" ref="C109">IFERROR(INDEX('03.Muestra'!$F$8:$F$42,SMALL(IF("Página Web"='03.Muestra'!$D$8:$D$42,ROW('03.Muestra'!$F$8:$F$42)-MIN(ROW('03.Muestra'!$D$8:$D$42))+1,""),ROW()-94)),"")</f>
        <v>https://elecciones.comunidad.madrid/es/preguntas-frecuentes/voto-correo-electores-residentes-extranjero</v>
      </c>
      <c r="D109" s="99" t="s">
        <v>184</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15" customHeight="1">
      <c r="A110" s="176" cm="1">
        <f t="array" ref="A110">IFERROR(INDEX('03.Muestra'!$B$8:$B$42,SMALL(IF("Página Web"='03.Muestra'!$D$8:$D$42,ROW('03.Muestra'!$B$8:$B$42)-MIN(ROW('03.Muestra'!$D$8:$D$42))+1,""),ROW()-94)),"")</f>
        <v>16</v>
      </c>
      <c r="B110" s="175" t="str" cm="1">
        <f t="array" ref="B110">IFERROR(INDEX('03.Muestra'!$C$8:$C$42,SMALL(IF("Página Web"='03.Muestra'!$D$8:$D$42,ROW('03.Muestra'!$C$8:$C$42)-MIN(ROW('03.Muestra'!$D$8:$D$42))+1,""),ROW()-94)),"")</f>
        <v>Contacto</v>
      </c>
      <c r="C110" s="175" t="str" cm="1">
        <f t="array" ref="C110">IFERROR(INDEX('03.Muestra'!$F$8:$F$42,SMALL(IF("Página Web"='03.Muestra'!$D$8:$D$42,ROW('03.Muestra'!$F$8:$F$42)-MIN(ROW('03.Muestra'!$D$8:$D$42))+1,""),ROW()-94)),"")</f>
        <v>https://elecciones.comunidad.madrid/es/buzon-de-sugerencias</v>
      </c>
      <c r="D110" s="99" t="s">
        <v>184</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15" customHeight="1">
      <c r="A111" s="176" cm="1">
        <f t="array" ref="A111">IFERROR(INDEX('03.Muestra'!$B$8:$B$42,SMALL(IF("Página Web"='03.Muestra'!$D$8:$D$42,ROW('03.Muestra'!$B$8:$B$42)-MIN(ROW('03.Muestra'!$D$8:$D$42))+1,""),ROW()-94)),"")</f>
        <v>17</v>
      </c>
      <c r="B111" s="175" t="str" cm="1">
        <f t="array" ref="B111">IFERROR(INDEX('03.Muestra'!$C$8:$C$42,SMALL(IF("Página Web"='03.Muestra'!$D$8:$D$42,ROW('03.Muestra'!$C$8:$C$42)-MIN(ROW('03.Muestra'!$D$8:$D$42))+1,""),ROW()-94)),"")</f>
        <v>Buscador</v>
      </c>
      <c r="C111" s="175" t="str" cm="1">
        <f t="array" ref="C111">IFERROR(INDEX('03.Muestra'!$F$8:$F$42,SMALL(IF("Página Web"='03.Muestra'!$D$8:$D$42,ROW('03.Muestra'!$F$8:$F$42)-MIN(ROW('03.Muestra'!$D$8:$D$42))+1,""),ROW()-94)),"")</f>
        <v>https://elecciones.comunidad.madrid/es/search?search_api_fulltext=partido</v>
      </c>
      <c r="D111" s="99" t="s">
        <v>184</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15" customHeight="1">
      <c r="A112" s="176" cm="1">
        <f t="array" ref="A112">IFERROR(INDEX('03.Muestra'!$B$8:$B$42,SMALL(IF("Página Web"='03.Muestra'!$D$8:$D$42,ROW('03.Muestra'!$B$8:$B$42)-MIN(ROW('03.Muestra'!$D$8:$D$42))+1,""),ROW()-94)),"")</f>
        <v>18</v>
      </c>
      <c r="B112" s="175" t="str" cm="1">
        <f t="array" ref="B112">IFERROR(INDEX('03.Muestra'!$C$8:$C$42,SMALL(IF("Página Web"='03.Muestra'!$D$8:$D$42,ROW('03.Muestra'!$C$8:$C$42)-MIN(ROW('03.Muestra'!$D$8:$D$42))+1,""),ROW()-94)),"")</f>
        <v>Aviso Legal-Privacidad</v>
      </c>
      <c r="C112" s="175" t="str" cm="1">
        <f t="array" ref="C112">IFERROR(INDEX('03.Muestra'!$F$8:$F$42,SMALL(IF("Página Web"='03.Muestra'!$D$8:$D$42,ROW('03.Muestra'!$F$8:$F$42)-MIN(ROW('03.Muestra'!$D$8:$D$42))+1,""),ROW()-94)),"")</f>
        <v>https://elecciones.comunidad.madrid/es/aviso-legal</v>
      </c>
      <c r="D112" s="99" t="s">
        <v>184</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15" customHeight="1">
      <c r="A113" s="176" cm="1">
        <f t="array" ref="A113">IFERROR(INDEX('03.Muestra'!$B$8:$B$42,SMALL(IF("Página Web"='03.Muestra'!$D$8:$D$42,ROW('03.Muestra'!$B$8:$B$42)-MIN(ROW('03.Muestra'!$D$8:$D$42))+1,""),ROW()-94)),"")</f>
        <v>19</v>
      </c>
      <c r="B113" s="175" t="str" cm="1">
        <f t="array" ref="B113">IFERROR(INDEX('03.Muestra'!$C$8:$C$42,SMALL(IF("Página Web"='03.Muestra'!$D$8:$D$42,ROW('03.Muestra'!$C$8:$C$42)-MIN(ROW('03.Muestra'!$D$8:$D$42))+1,""),ROW()-94)),"")</f>
        <v>Mapa Web</v>
      </c>
      <c r="C113" s="175" t="str" cm="1">
        <f t="array" ref="C113">IFERROR(INDEX('03.Muestra'!$F$8:$F$42,SMALL(IF("Página Web"='03.Muestra'!$D$8:$D$42,ROW('03.Muestra'!$F$8:$F$42)-MIN(ROW('03.Muestra'!$D$8:$D$42))+1,""),ROW()-94)),"")</f>
        <v>https://elecciones.comunidad.madrid/es/sitemap</v>
      </c>
      <c r="D113" s="99" t="s">
        <v>184</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15" customHeight="1">
      <c r="A114" s="176" cm="1">
        <f t="array" ref="A114">IFERROR(INDEX('03.Muestra'!$B$8:$B$42,SMALL(IF("Página Web"='03.Muestra'!$D$8:$D$42,ROW('03.Muestra'!$B$8:$B$42)-MIN(ROW('03.Muestra'!$D$8:$D$42))+1,""),ROW()-94)),"")</f>
        <v>20</v>
      </c>
      <c r="B114" s="175" t="str" cm="1">
        <f t="array" ref="B114">IFERROR(INDEX('03.Muestra'!$C$8:$C$42,SMALL(IF("Página Web"='03.Muestra'!$D$8:$D$42,ROW('03.Muestra'!$C$8:$C$42)-MIN(ROW('03.Muestra'!$D$8:$D$42))+1,""),ROW()-94)),"")</f>
        <v>Declaracion Accesibilidad</v>
      </c>
      <c r="C114" s="175" t="str" cm="1">
        <f t="array" ref="C114">IFERROR(INDEX('03.Muestra'!$F$8:$F$42,SMALL(IF("Página Web"='03.Muestra'!$D$8:$D$42,ROW('03.Muestra'!$F$8:$F$42)-MIN(ROW('03.Muestra'!$D$8:$D$42))+1,""),ROW()-94)),"")</f>
        <v>https://elecciones.comunidad.madrid/es/accesibilidad</v>
      </c>
      <c r="D114" s="99" t="s">
        <v>184</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15"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15"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15"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D1:D8 D10:D1048576">
    <cfRule type="cellIs" dxfId="1122" priority="20" stopIfTrue="1" operator="equal">
      <formula>"-"</formula>
    </cfRule>
  </conditionalFormatting>
  <conditionalFormatting sqref="D19:D53 D57:D91 D95:D129 F19:J19 F57:J57 F95:J95">
    <cfRule type="expression" dxfId="1121" priority="148" stopIfTrue="1">
      <formula>ISBLANK(D19)</formula>
    </cfRule>
  </conditionalFormatting>
  <conditionalFormatting sqref="E19:E53 E57:E91 E95:E129">
    <cfRule type="cellIs" dxfId="1120" priority="154" stopIfTrue="1" operator="equal">
      <formula>"ERR"</formula>
    </cfRule>
  </conditionalFormatting>
  <conditionalFormatting sqref="F19:J19 D19:D53 F57:J57 D57:D91 F95:J95 D95:D129">
    <cfRule type="cellIs" dxfId="1119" priority="149" stopIfTrue="1" operator="equal">
      <formula>"Pasa"</formula>
    </cfRule>
    <cfRule type="cellIs" dxfId="1118" priority="150" stopIfTrue="1" operator="equal">
      <formula>"Falla"</formula>
    </cfRule>
    <cfRule type="cellIs" dxfId="1117" priority="151" stopIfTrue="1" operator="equal">
      <formula>"N/A"</formula>
    </cfRule>
    <cfRule type="cellIs" dxfId="1116" priority="152" stopIfTrue="1" operator="equal">
      <formula>"N/T"</formula>
    </cfRule>
    <cfRule type="cellIs" dxfId="1115" priority="153" stopIfTrue="1" operator="equal">
      <formula>"N/D"</formula>
    </cfRule>
  </conditionalFormatting>
  <conditionalFormatting sqref="K23:K24">
    <cfRule type="expression" dxfId="1114" priority="1" stopIfTrue="1">
      <formula>ISBLANK(K23)</formula>
    </cfRule>
    <cfRule type="cellIs" dxfId="1113" priority="2" stopIfTrue="1" operator="equal">
      <formula>"Pasa"</formula>
    </cfRule>
    <cfRule type="cellIs" dxfId="1112" priority="3" stopIfTrue="1" operator="equal">
      <formula>"Falla"</formula>
    </cfRule>
    <cfRule type="cellIs" dxfId="1111" priority="4" stopIfTrue="1" operator="equal">
      <formula>"N/A"</formula>
    </cfRule>
    <cfRule type="cellIs" dxfId="1110" priority="5" stopIfTrue="1" operator="equal">
      <formula>"N/T"</formula>
    </cfRule>
    <cfRule type="cellIs" dxfId="1109"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zoomScale="80" zoomScaleNormal="80" workbookViewId="0">
      <selection activeCell="D722" sqref="D705:D722"/>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192</v>
      </c>
      <c r="C3" s="26"/>
      <c r="D3" s="78"/>
      <c r="E3" s="79"/>
    </row>
    <row r="4" spans="1:64" ht="26.15" customHeight="1">
      <c r="B4" s="1"/>
      <c r="C4" s="47"/>
      <c r="D4" s="14"/>
      <c r="E4" s="14"/>
      <c r="K4" s="18"/>
      <c r="N4" s="18"/>
      <c r="O4" s="18"/>
    </row>
    <row r="5" spans="1:64" ht="27.9" customHeight="1">
      <c r="B5" s="7" t="s">
        <v>165</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19"/>
      <c r="C6" s="119"/>
      <c r="D6" s="119"/>
      <c r="E6" s="120"/>
      <c r="F6" s="119"/>
      <c r="G6" s="119"/>
      <c r="H6" s="119"/>
      <c r="I6" s="119"/>
      <c r="J6" s="119"/>
      <c r="K6" s="119"/>
      <c r="L6" s="119"/>
      <c r="M6" s="119"/>
      <c r="N6" s="18"/>
      <c r="O6" s="18"/>
    </row>
    <row r="7" spans="1:64" ht="12.65" customHeight="1">
      <c r="B7" s="18"/>
      <c r="C7" s="18"/>
      <c r="D7" s="18"/>
      <c r="E7" s="79"/>
      <c r="F7" s="18"/>
      <c r="G7" s="18"/>
      <c r="H7" s="18"/>
      <c r="I7" s="18"/>
      <c r="J7" s="18"/>
      <c r="K7" s="18"/>
      <c r="L7" s="18"/>
      <c r="M7" s="18"/>
      <c r="N7" s="18"/>
      <c r="O7" s="18"/>
    </row>
    <row r="8" spans="1:64" ht="21" customHeight="1">
      <c r="B8" s="82" t="s">
        <v>193</v>
      </c>
      <c r="C8" s="18"/>
      <c r="D8" s="79"/>
      <c r="E8" s="79"/>
      <c r="F8" s="18"/>
      <c r="G8" s="18"/>
      <c r="H8" s="18"/>
      <c r="I8" s="18"/>
      <c r="J8" s="18"/>
      <c r="K8" s="18"/>
      <c r="L8" s="18"/>
      <c r="M8" s="18"/>
      <c r="N8" s="18"/>
      <c r="O8" s="18"/>
    </row>
    <row r="9" spans="1:64" ht="30" customHeight="1">
      <c r="B9" s="231" t="s">
        <v>167</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168</v>
      </c>
      <c r="C11" s="230"/>
      <c r="D11" s="26"/>
      <c r="E11" s="14"/>
      <c r="F11" s="196" t="s">
        <v>169</v>
      </c>
      <c r="G11" s="105" t="s">
        <v>170</v>
      </c>
      <c r="H11" s="197" t="s">
        <v>171</v>
      </c>
      <c r="I11" s="22"/>
      <c r="J11" s="196" t="s">
        <v>172</v>
      </c>
      <c r="K11" s="105" t="s">
        <v>170</v>
      </c>
      <c r="L11" s="197" t="s">
        <v>171</v>
      </c>
      <c r="M11" s="18"/>
      <c r="N11" s="18"/>
      <c r="O11" s="18"/>
      <c r="P11" s="18"/>
      <c r="Q11" s="18"/>
      <c r="R11" s="18"/>
      <c r="U11" s="18"/>
      <c r="V11" s="18"/>
      <c r="W11" s="18"/>
      <c r="X11" s="18"/>
      <c r="Y11" s="18"/>
    </row>
    <row r="12" spans="1:64" ht="12" customHeight="1">
      <c r="B12" s="108" t="s">
        <v>173</v>
      </c>
      <c r="C12" s="198">
        <f>COUNTIF($B$18:$B$4418,B12)</f>
        <v>19</v>
      </c>
      <c r="D12" s="26"/>
      <c r="E12" s="14"/>
      <c r="F12" s="199" t="s">
        <v>174</v>
      </c>
      <c r="G12" s="72">
        <f ca="1">J20+J58+J96+J134+J172+J210+J248+J286+J324+J362+J400+J438+J476+J514+J552+J590+J628+J666+J704</f>
        <v>0</v>
      </c>
      <c r="H12" s="42">
        <f ca="1">IF(($G$15+$K$15)=0,0,G12/($G$15+$K$15))</f>
        <v>0</v>
      </c>
      <c r="I12" s="26"/>
      <c r="J12" s="183" t="s">
        <v>175</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176</v>
      </c>
      <c r="G13" s="72">
        <f ca="1">I20+I58+I96+I134+I172+I210+I248+I286+I324+I362+I400+I438+I476+I514+I552+I590+I628+I666+I704</f>
        <v>0</v>
      </c>
      <c r="H13" s="42">
        <f ca="1">IF(($G$15+$K$15)=0,0,G13/($G$15+$K$15))</f>
        <v>0</v>
      </c>
      <c r="I13" s="26"/>
      <c r="J13" s="183" t="s">
        <v>177</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178</v>
      </c>
      <c r="C14" s="201">
        <f>C12+C13</f>
        <v>19</v>
      </c>
      <c r="D14" s="26"/>
      <c r="E14" s="14"/>
      <c r="F14" s="199" t="s">
        <v>179</v>
      </c>
      <c r="G14" s="72">
        <f ca="1">H20+H58+H96+H134+H172+H210+H248+H286+H324+H362+H400+H438+H476+H514+H552+H590+H628+H666+H704</f>
        <v>380</v>
      </c>
      <c r="H14" s="42">
        <f ca="1">IF(($G$15+$K$15)=0,0,G14/($G$15+$K$15))</f>
        <v>1</v>
      </c>
      <c r="I14" s="26"/>
      <c r="J14" s="177" t="s">
        <v>180</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178</v>
      </c>
      <c r="G15" s="203">
        <f ca="1">SUM(G12:G14)</f>
        <v>380</v>
      </c>
      <c r="H15" s="204">
        <f ca="1">SUM(H12:H14)</f>
        <v>1</v>
      </c>
      <c r="I15" s="26"/>
      <c r="J15" s="200" t="s">
        <v>178</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181</v>
      </c>
      <c r="B18" s="23" t="s">
        <v>173</v>
      </c>
      <c r="C18" s="24" t="s">
        <v>194</v>
      </c>
      <c r="D18" s="25" t="s">
        <v>183</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https://elecciones.comunidad.madrid/es</v>
      </c>
      <c r="D19" s="99" t="s">
        <v>184</v>
      </c>
      <c r="E19" s="79" t="str">
        <f t="shared" ref="E19:E53" si="0">IF(D19&lt;&gt;"",IF(AND(B19&lt;&gt;"",C19&lt;&gt;""),"","ERR"),"")</f>
        <v/>
      </c>
      <c r="F19" s="86" t="s">
        <v>185</v>
      </c>
      <c r="G19" s="87" t="s">
        <v>186</v>
      </c>
      <c r="H19" s="88" t="s">
        <v>184</v>
      </c>
      <c r="I19" s="89" t="s">
        <v>176</v>
      </c>
      <c r="J19" s="90" t="s">
        <v>174</v>
      </c>
      <c r="K19" s="179" t="s">
        <v>180</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Resultado Elecciones 28M 2023</v>
      </c>
      <c r="C20" s="85" t="str" cm="1">
        <f t="array" ref="C20">IFERROR(INDEX('03.Muestra'!$F$8:$F$42,SMALL(IF("Página Web"='03.Muestra'!$D$8:$D$42,ROW('03.Muestra'!$F$8:$F$42)-MIN(ROW('03.Muestra'!$D$8:$D$42))+1,""),ROW()-18)),"")</f>
        <v>https://elecciones.comunidad.madrid/es/resultados-elecciones-asamblea-madrid-28m-2023</v>
      </c>
      <c r="D20" s="99" t="s">
        <v>184</v>
      </c>
      <c r="E20" s="79" t="str">
        <f t="shared" si="0"/>
        <v/>
      </c>
      <c r="F20" s="91">
        <f ca="1">COUNTIF($D19:INDIRECT("$D" &amp;  SUM(ROW()-1,'03.Muestra'!$D$45)-1),F19)</f>
        <v>0</v>
      </c>
      <c r="G20" s="91">
        <f ca="1">COUNTIF($D19:INDIRECT("$D" &amp;  SUM(ROW()-1,'03.Muestra'!$D$45)-1),G19)</f>
        <v>0</v>
      </c>
      <c r="H20" s="91">
        <f ca="1">COUNTIF($D19:INDIRECT("$D" &amp;  SUM(ROW()-1,'03.Muestra'!$D$45)-1),H19)</f>
        <v>20</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Normativa electoral</v>
      </c>
      <c r="C21" s="85" t="str" cm="1">
        <f t="array" ref="C21">IFERROR(INDEX('03.Muestra'!$F$8:$F$42,SMALL(IF("Página Web"='03.Muestra'!$D$8:$D$42,ROW('03.Muestra'!$F$8:$F$42)-MIN(ROW('03.Muestra'!$D$8:$D$42))+1,""),ROW()-18)),"")</f>
        <v>https://elecciones.comunidad.madrid/es/informacion-electoral/normativa-electoral</v>
      </c>
      <c r="D21" s="99" t="s">
        <v>184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Calendario electoral</v>
      </c>
      <c r="C22" s="85" t="str" cm="1">
        <f t="array" ref="C22">IFERROR(INDEX('03.Muestra'!$F$8:$F$42,SMALL(IF("Página Web"='03.Muestra'!$D$8:$D$42,ROW('03.Muestra'!$F$8:$F$42)-MIN(ROW('03.Muestra'!$D$8:$D$42))+1,""),ROW()-18)),"")</f>
        <v>https://elecciones.comunidad.madrid/es/informacion-electoral/calendario-electoral</v>
      </c>
      <c r="D22" s="99" t="s">
        <v>184</v>
      </c>
      <c r="E22" s="79" t="str">
        <f t="shared" si="0"/>
        <v/>
      </c>
      <c r="F22" s="18"/>
      <c r="G22" s="18"/>
      <c r="H22" s="18"/>
      <c r="I22" s="18"/>
      <c r="K22" s="170" t="s">
        <v>185</v>
      </c>
      <c r="L22" s="92" t="s">
        <v>187</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Direcciones y teléfonos</v>
      </c>
      <c r="C23" s="85" t="str" cm="1">
        <f t="array" ref="C23">IFERROR(INDEX('03.Muestra'!$F$8:$F$42,SMALL(IF("Página Web"='03.Muestra'!$D$8:$D$42,ROW('03.Muestra'!$F$8:$F$42)-MIN(ROW('03.Muestra'!$D$8:$D$42))+1,""),ROW()-18)),"")</f>
        <v>https://elecciones.comunidad.madrid/es/juntas-electorales/direcciones-telefonos</v>
      </c>
      <c r="D23" s="99" t="s">
        <v>184</v>
      </c>
      <c r="E23" s="79" t="str">
        <f t="shared" si="0"/>
        <v/>
      </c>
      <c r="F23" s="78"/>
      <c r="G23" s="18"/>
      <c r="H23" s="18"/>
      <c r="I23" s="18"/>
      <c r="K23" s="88" t="s">
        <v>184</v>
      </c>
      <c r="L23" s="92" t="s">
        <v>188</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Impresos electrónicos</v>
      </c>
      <c r="C24" s="85" t="str" cm="1">
        <f t="array" ref="C24">IFERROR(INDEX('03.Muestra'!$F$8:$F$42,SMALL(IF("Página Web"='03.Muestra'!$D$8:$D$42,ROW('03.Muestra'!$F$8:$F$42)-MIN(ROW('03.Muestra'!$D$8:$D$42))+1,""),ROW()-18)),"")</f>
        <v>https://elecciones.comunidad.madrid/es/formaciones-politicas/impresos-electronicos</v>
      </c>
      <c r="D24" s="99" t="s">
        <v>184</v>
      </c>
      <c r="E24" s="79" t="str">
        <f t="shared" si="0"/>
        <v/>
      </c>
      <c r="F24" s="18"/>
      <c r="G24" s="18"/>
      <c r="H24" s="18"/>
      <c r="I24" s="18"/>
      <c r="K24" s="87" t="s">
        <v>186</v>
      </c>
      <c r="L24" s="92" t="s">
        <v>189</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Listado de candidaturas</v>
      </c>
      <c r="C25" s="85" t="str" cm="1">
        <f t="array" ref="C25">IFERROR(INDEX('03.Muestra'!$F$8:$F$42,SMALL(IF("Página Web"='03.Muestra'!$D$8:$D$42,ROW('03.Muestra'!$F$8:$F$42)-MIN(ROW('03.Muestra'!$D$8:$D$42))+1,""),ROW()-18)),"")</f>
        <v>https://elecciones.comunidad.madrid/es/formaciones-politicas/listado-candidaturas-proclamadas</v>
      </c>
      <c r="D25" s="99" t="s">
        <v>184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Partido Feminista de España</v>
      </c>
      <c r="C26" s="85" t="str" cm="1">
        <f t="array" ref="C26">IFERROR(INDEX('03.Muestra'!$F$8:$F$42,SMALL(IF("Página Web"='03.Muestra'!$D$8:$D$42,ROW('03.Muestra'!$F$8:$F$42)-MIN(ROW('03.Muestra'!$D$8:$D$42))+1,""),ROW()-18)),"")</f>
        <v>https://elecciones.comunidad.madrid/es/formaciones-politicas/listado-candidaturas/partido-feminista-espana</v>
      </c>
      <c r="D26" s="99" t="s">
        <v>184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¿Dónde voto?</v>
      </c>
      <c r="C27" s="85" t="str" cm="1">
        <f t="array" ref="C27">IFERROR(INDEX('03.Muestra'!$F$8:$F$42,SMALL(IF("Página Web"='03.Muestra'!$D$8:$D$42,ROW('03.Muestra'!$F$8:$F$42)-MIN(ROW('03.Muestra'!$D$8:$D$42))+1,""),ROW()-18)),"")</f>
        <v>https://elecciones.comunidad.madrid/es/votar/donde-voto</v>
      </c>
      <c r="D27" s="99" t="s">
        <v>184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Voto presencial</v>
      </c>
      <c r="C28" s="85" t="str" cm="1">
        <f t="array" ref="C28">IFERROR(INDEX('03.Muestra'!$F$8:$F$42,SMALL(IF("Página Web"='03.Muestra'!$D$8:$D$42,ROW('03.Muestra'!$F$8:$F$42)-MIN(ROW('03.Muestra'!$D$8:$D$42))+1,""),ROW()-18)),"")</f>
        <v>https://elecciones.comunidad.madrid/es/voto-local-electoral/voto-presencial</v>
      </c>
      <c r="D28" s="99" t="s">
        <v>184</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Ciudadanos temporalmente en el extranjero</v>
      </c>
      <c r="C29" s="85" t="str" cm="1">
        <f t="array" ref="C29">IFERROR(INDEX('03.Muestra'!$F$8:$F$42,SMALL(IF("Página Web"='03.Muestra'!$D$8:$D$42,ROW('03.Muestra'!$F$8:$F$42)-MIN(ROW('03.Muestra'!$D$8:$D$42))+1,""),ROW()-18)),"")</f>
        <v>https://elecciones.comunidad.madrid/es/voto-correo/solicitud-voto-temporalmente-ausentes</v>
      </c>
      <c r="D29" s="99" t="s">
        <v>184</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Nuevo votante</v>
      </c>
      <c r="C30" s="85" t="str" cm="1">
        <f t="array" ref="C30">IFERROR(INDEX('03.Muestra'!$F$8:$F$42,SMALL(IF("Página Web"='03.Muestra'!$D$8:$D$42,ROW('03.Muestra'!$F$8:$F$42)-MIN(ROW('03.Muestra'!$D$8:$D$42))+1,""),ROW()-18)),"")</f>
        <v>https://elecciones.comunidad.madrid/es/votar/nuevo-votante</v>
      </c>
      <c r="D30" s="99" t="s">
        <v>184</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Simulación método D'Hondt</v>
      </c>
      <c r="C31" s="85" t="str" cm="1">
        <f t="array" ref="C31">IFERROR(INDEX('03.Muestra'!$F$8:$F$42,SMALL(IF("Página Web"='03.Muestra'!$D$8:$D$42,ROW('03.Muestra'!$F$8:$F$42)-MIN(ROW('03.Muestra'!$D$8:$D$42))+1,""),ROW()-18)),"")</f>
        <v>https://elecciones.comunidad.madrid/es/informacion-util/simulacion-metodo-dhondt</v>
      </c>
      <c r="D31" s="99" t="s">
        <v>184</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Ley D'Hondt</v>
      </c>
      <c r="C32" s="85" t="str" cm="1">
        <f t="array" ref="C32">IFERROR(INDEX('03.Muestra'!$F$8:$F$42,SMALL(IF("Página Web"='03.Muestra'!$D$8:$D$42,ROW('03.Muestra'!$F$8:$F$42)-MIN(ROW('03.Muestra'!$D$8:$D$42))+1,""),ROW()-18)),"")</f>
        <v>https://elecciones.comunidad.madrid/es/resultados/ley_d_hondt</v>
      </c>
      <c r="D32" s="99" t="s">
        <v>184</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Voto por correo elector CERA en España</v>
      </c>
      <c r="C33" s="85" t="str" cm="1">
        <f t="array" ref="C33">IFERROR(INDEX('03.Muestra'!$F$8:$F$42,SMALL(IF("Página Web"='03.Muestra'!$D$8:$D$42,ROW('03.Muestra'!$F$8:$F$42)-MIN(ROW('03.Muestra'!$D$8:$D$42))+1,""),ROW()-18)),"")</f>
        <v>https://elecciones.comunidad.madrid/es/preguntas-frecuentes/voto-correo-electores-residentes-extranjero</v>
      </c>
      <c r="D33" s="99" t="s">
        <v>184</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Contacto</v>
      </c>
      <c r="C34" s="85" t="str" cm="1">
        <f t="array" ref="C34">IFERROR(INDEX('03.Muestra'!$F$8:$F$42,SMALL(IF("Página Web"='03.Muestra'!$D$8:$D$42,ROW('03.Muestra'!$F$8:$F$42)-MIN(ROW('03.Muestra'!$D$8:$D$42))+1,""),ROW()-18)),"")</f>
        <v>https://elecciones.comunidad.madrid/es/buzon-de-sugerencias</v>
      </c>
      <c r="D34" s="99" t="s">
        <v>184</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Buscador</v>
      </c>
      <c r="C35" s="85" t="str" cm="1">
        <f t="array" ref="C35">IFERROR(INDEX('03.Muestra'!$F$8:$F$42,SMALL(IF("Página Web"='03.Muestra'!$D$8:$D$42,ROW('03.Muestra'!$F$8:$F$42)-MIN(ROW('03.Muestra'!$D$8:$D$42))+1,""),ROW()-18)),"")</f>
        <v>https://elecciones.comunidad.madrid/es/search?search_api_fulltext=partido</v>
      </c>
      <c r="D35" s="99" t="s">
        <v>184</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Legal-Privacidad</v>
      </c>
      <c r="C36" s="85" t="str" cm="1">
        <f t="array" ref="C36">IFERROR(INDEX('03.Muestra'!$F$8:$F$42,SMALL(IF("Página Web"='03.Muestra'!$D$8:$D$42,ROW('03.Muestra'!$F$8:$F$42)-MIN(ROW('03.Muestra'!$D$8:$D$42))+1,""),ROW()-18)),"")</f>
        <v>https://elecciones.comunidad.madrid/es/aviso-legal</v>
      </c>
      <c r="D36" s="99" t="s">
        <v>184</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https://elecciones.comunidad.madrid/es/sitemap</v>
      </c>
      <c r="D37" s="99" t="s">
        <v>184</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Declaracion Accesibilidad</v>
      </c>
      <c r="C38" s="85" t="str" cm="1">
        <f t="array" ref="C38">IFERROR(INDEX('03.Muestra'!$F$8:$F$42,SMALL(IF("Página Web"='03.Muestra'!$D$8:$D$42,ROW('03.Muestra'!$F$8:$F$42)-MIN(ROW('03.Muestra'!$D$8:$D$42))+1,""),ROW()-18)),"")</f>
        <v>https://elecciones.comunidad.madrid/es/accesibilidad</v>
      </c>
      <c r="D38" s="99" t="s">
        <v>184</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181</v>
      </c>
      <c r="B56" s="23" t="s">
        <v>173</v>
      </c>
      <c r="C56" s="24" t="s">
        <v>195</v>
      </c>
      <c r="D56" s="25" t="s">
        <v>183</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https://elecciones.comunidad.madrid/es</v>
      </c>
      <c r="D57" s="99" t="s">
        <v>184</v>
      </c>
      <c r="E57" s="79" t="str">
        <f t="shared" ref="E57:E91" si="2">IF(D57&lt;&gt;"",IF(AND(B57&lt;&gt;"",C57&lt;&gt;""),"","ERR"),"")</f>
        <v/>
      </c>
      <c r="F57" s="86" t="s">
        <v>185</v>
      </c>
      <c r="G57" s="87" t="s">
        <v>186</v>
      </c>
      <c r="H57" s="88" t="s">
        <v>184</v>
      </c>
      <c r="I57" s="89" t="s">
        <v>176</v>
      </c>
      <c r="J57" s="90" t="s">
        <v>174</v>
      </c>
      <c r="K57" s="181" t="s">
        <v>180</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Resultado Elecciones 28M 2023</v>
      </c>
      <c r="C58" s="85" t="str" cm="1">
        <f t="array" ref="C58">IFERROR(INDEX('03.Muestra'!$F$8:$F$42,SMALL(IF("Página Web"='03.Muestra'!$D$8:$D$42,ROW('03.Muestra'!$F$8:$F$42)-MIN(ROW('03.Muestra'!$D$8:$D$42))+1,""),ROW()-56)),"")</f>
        <v>https://elecciones.comunidad.madrid/es/resultados-elecciones-asamblea-madrid-28m-2023</v>
      </c>
      <c r="D58" s="99" t="s">
        <v>184</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Normativa electoral</v>
      </c>
      <c r="C59" s="85" t="str" cm="1">
        <f t="array" ref="C59">IFERROR(INDEX('03.Muestra'!$F$8:$F$42,SMALL(IF("Página Web"='03.Muestra'!$D$8:$D$42,ROW('03.Muestra'!$F$8:$F$42)-MIN(ROW('03.Muestra'!$D$8:$D$42))+1,""),ROW()-56)),"")</f>
        <v>https://elecciones.comunidad.madrid/es/informacion-electoral/normativa-electoral</v>
      </c>
      <c r="D59" s="99" t="s">
        <v>184</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Calendario electoral</v>
      </c>
      <c r="C60" s="85" t="str" cm="1">
        <f t="array" ref="C60">IFERROR(INDEX('03.Muestra'!$F$8:$F$42,SMALL(IF("Página Web"='03.Muestra'!$D$8:$D$42,ROW('03.Muestra'!$F$8:$F$42)-MIN(ROW('03.Muestra'!$D$8:$D$42))+1,""),ROW()-56)),"")</f>
        <v>https://elecciones.comunidad.madrid/es/informacion-electoral/calendario-electoral</v>
      </c>
      <c r="D60" s="99" t="s">
        <v>184</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Direcciones y teléfonos</v>
      </c>
      <c r="C61" s="85" t="str" cm="1">
        <f t="array" ref="C61">IFERROR(INDEX('03.Muestra'!$F$8:$F$42,SMALL(IF("Página Web"='03.Muestra'!$D$8:$D$42,ROW('03.Muestra'!$F$8:$F$42)-MIN(ROW('03.Muestra'!$D$8:$D$42))+1,""),ROW()-56)),"")</f>
        <v>https://elecciones.comunidad.madrid/es/juntas-electorales/direcciones-telefonos</v>
      </c>
      <c r="D61" s="99" t="s">
        <v>184</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Impresos electrónicos</v>
      </c>
      <c r="C62" s="85" t="str" cm="1">
        <f t="array" ref="C62">IFERROR(INDEX('03.Muestra'!$F$8:$F$42,SMALL(IF("Página Web"='03.Muestra'!$D$8:$D$42,ROW('03.Muestra'!$F$8:$F$42)-MIN(ROW('03.Muestra'!$D$8:$D$42))+1,""),ROW()-56)),"")</f>
        <v>https://elecciones.comunidad.madrid/es/formaciones-politicas/impresos-electronicos</v>
      </c>
      <c r="D62" s="99" t="s">
        <v>184</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Listado de candidaturas</v>
      </c>
      <c r="C63" s="85" t="str" cm="1">
        <f t="array" ref="C63">IFERROR(INDEX('03.Muestra'!$F$8:$F$42,SMALL(IF("Página Web"='03.Muestra'!$D$8:$D$42,ROW('03.Muestra'!$F$8:$F$42)-MIN(ROW('03.Muestra'!$D$8:$D$42))+1,""),ROW()-56)),"")</f>
        <v>https://elecciones.comunidad.madrid/es/formaciones-politicas/listado-candidaturas-proclamadas</v>
      </c>
      <c r="D63" s="99" t="s">
        <v>184</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Partido Feminista de España</v>
      </c>
      <c r="C64" s="85" t="str" cm="1">
        <f t="array" ref="C64">IFERROR(INDEX('03.Muestra'!$F$8:$F$42,SMALL(IF("Página Web"='03.Muestra'!$D$8:$D$42,ROW('03.Muestra'!$F$8:$F$42)-MIN(ROW('03.Muestra'!$D$8:$D$42))+1,""),ROW()-56)),"")</f>
        <v>https://elecciones.comunidad.madrid/es/formaciones-politicas/listado-candidaturas/partido-feminista-espana</v>
      </c>
      <c r="D64" s="99" t="s">
        <v>184</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¿Dónde voto?</v>
      </c>
      <c r="C65" s="85" t="str" cm="1">
        <f t="array" ref="C65">IFERROR(INDEX('03.Muestra'!$F$8:$F$42,SMALL(IF("Página Web"='03.Muestra'!$D$8:$D$42,ROW('03.Muestra'!$F$8:$F$42)-MIN(ROW('03.Muestra'!$D$8:$D$42))+1,""),ROW()-56)),"")</f>
        <v>https://elecciones.comunidad.madrid/es/votar/donde-voto</v>
      </c>
      <c r="D65" s="99" t="s">
        <v>184</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Voto presencial</v>
      </c>
      <c r="C66" s="85" t="str" cm="1">
        <f t="array" ref="C66">IFERROR(INDEX('03.Muestra'!$F$8:$F$42,SMALL(IF("Página Web"='03.Muestra'!$D$8:$D$42,ROW('03.Muestra'!$F$8:$F$42)-MIN(ROW('03.Muestra'!$D$8:$D$42))+1,""),ROW()-56)),"")</f>
        <v>https://elecciones.comunidad.madrid/es/voto-local-electoral/voto-presencial</v>
      </c>
      <c r="D66" s="99" t="s">
        <v>184</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Ciudadanos temporalmente en el extranjero</v>
      </c>
      <c r="C67" s="85" t="str" cm="1">
        <f t="array" ref="C67">IFERROR(INDEX('03.Muestra'!$F$8:$F$42,SMALL(IF("Página Web"='03.Muestra'!$D$8:$D$42,ROW('03.Muestra'!$F$8:$F$42)-MIN(ROW('03.Muestra'!$D$8:$D$42))+1,""),ROW()-56)),"")</f>
        <v>https://elecciones.comunidad.madrid/es/voto-correo/solicitud-voto-temporalmente-ausentes</v>
      </c>
      <c r="D67" s="99" t="s">
        <v>184</v>
      </c>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Nuevo votante</v>
      </c>
      <c r="C68" s="85" t="str" cm="1">
        <f t="array" ref="C68">IFERROR(INDEX('03.Muestra'!$F$8:$F$42,SMALL(IF("Página Web"='03.Muestra'!$D$8:$D$42,ROW('03.Muestra'!$F$8:$F$42)-MIN(ROW('03.Muestra'!$D$8:$D$42))+1,""),ROW()-56)),"")</f>
        <v>https://elecciones.comunidad.madrid/es/votar/nuevo-votante</v>
      </c>
      <c r="D68" s="99" t="s">
        <v>184</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Simulación método D'Hondt</v>
      </c>
      <c r="C69" s="85" t="str" cm="1">
        <f t="array" ref="C69">IFERROR(INDEX('03.Muestra'!$F$8:$F$42,SMALL(IF("Página Web"='03.Muestra'!$D$8:$D$42,ROW('03.Muestra'!$F$8:$F$42)-MIN(ROW('03.Muestra'!$D$8:$D$42))+1,""),ROW()-56)),"")</f>
        <v>https://elecciones.comunidad.madrid/es/informacion-util/simulacion-metodo-dhondt</v>
      </c>
      <c r="D69" s="99" t="s">
        <v>184</v>
      </c>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Ley D'Hondt</v>
      </c>
      <c r="C70" s="85" t="str" cm="1">
        <f t="array" ref="C70">IFERROR(INDEX('03.Muestra'!$F$8:$F$42,SMALL(IF("Página Web"='03.Muestra'!$D$8:$D$42,ROW('03.Muestra'!$F$8:$F$42)-MIN(ROW('03.Muestra'!$D$8:$D$42))+1,""),ROW()-56)),"")</f>
        <v>https://elecciones.comunidad.madrid/es/resultados/ley_d_hondt</v>
      </c>
      <c r="D70" s="99" t="s">
        <v>184</v>
      </c>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Voto por correo elector CERA en España</v>
      </c>
      <c r="C71" s="85" t="str" cm="1">
        <f t="array" ref="C71">IFERROR(INDEX('03.Muestra'!$F$8:$F$42,SMALL(IF("Página Web"='03.Muestra'!$D$8:$D$42,ROW('03.Muestra'!$F$8:$F$42)-MIN(ROW('03.Muestra'!$D$8:$D$42))+1,""),ROW()-56)),"")</f>
        <v>https://elecciones.comunidad.madrid/es/preguntas-frecuentes/voto-correo-electores-residentes-extranjero</v>
      </c>
      <c r="D71" s="99" t="s">
        <v>184</v>
      </c>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Contacto</v>
      </c>
      <c r="C72" s="85" t="str" cm="1">
        <f t="array" ref="C72">IFERROR(INDEX('03.Muestra'!$F$8:$F$42,SMALL(IF("Página Web"='03.Muestra'!$D$8:$D$42,ROW('03.Muestra'!$F$8:$F$42)-MIN(ROW('03.Muestra'!$D$8:$D$42))+1,""),ROW()-56)),"")</f>
        <v>https://elecciones.comunidad.madrid/es/buzon-de-sugerencias</v>
      </c>
      <c r="D72" s="99" t="s">
        <v>184</v>
      </c>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Buscador</v>
      </c>
      <c r="C73" s="85" t="str" cm="1">
        <f t="array" ref="C73">IFERROR(INDEX('03.Muestra'!$F$8:$F$42,SMALL(IF("Página Web"='03.Muestra'!$D$8:$D$42,ROW('03.Muestra'!$F$8:$F$42)-MIN(ROW('03.Muestra'!$D$8:$D$42))+1,""),ROW()-56)),"")</f>
        <v>https://elecciones.comunidad.madrid/es/search?search_api_fulltext=partido</v>
      </c>
      <c r="D73" s="99" t="s">
        <v>184</v>
      </c>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Legal-Privacidad</v>
      </c>
      <c r="C74" s="85" t="str" cm="1">
        <f t="array" ref="C74">IFERROR(INDEX('03.Muestra'!$F$8:$F$42,SMALL(IF("Página Web"='03.Muestra'!$D$8:$D$42,ROW('03.Muestra'!$F$8:$F$42)-MIN(ROW('03.Muestra'!$D$8:$D$42))+1,""),ROW()-56)),"")</f>
        <v>https://elecciones.comunidad.madrid/es/aviso-legal</v>
      </c>
      <c r="D74" s="99" t="s">
        <v>184</v>
      </c>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https://elecciones.comunidad.madrid/es/sitemap</v>
      </c>
      <c r="D75" s="99" t="s">
        <v>184</v>
      </c>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Declaracion Accesibilidad</v>
      </c>
      <c r="C76" s="85" t="str" cm="1">
        <f t="array" ref="C76">IFERROR(INDEX('03.Muestra'!$F$8:$F$42,SMALL(IF("Página Web"='03.Muestra'!$D$8:$D$42,ROW('03.Muestra'!$F$8:$F$42)-MIN(ROW('03.Muestra'!$D$8:$D$42))+1,""),ROW()-56)),"")</f>
        <v>https://elecciones.comunidad.madrid/es/accesibilidad</v>
      </c>
      <c r="D76" s="99" t="s">
        <v>184</v>
      </c>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181</v>
      </c>
      <c r="B94" s="23" t="s">
        <v>173</v>
      </c>
      <c r="C94" s="24" t="s">
        <v>196</v>
      </c>
      <c r="D94" s="25" t="s">
        <v>183</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https://elecciones.comunidad.madrid/es</v>
      </c>
      <c r="D95" s="99" t="s">
        <v>184</v>
      </c>
      <c r="E95" s="79" t="str">
        <f t="shared" ref="E95:E129" si="4">IF(D95&lt;&gt;"",IF(AND(B95&lt;&gt;"",C95&lt;&gt;""),"","ERR"),"")</f>
        <v/>
      </c>
      <c r="F95" s="86" t="s">
        <v>185</v>
      </c>
      <c r="G95" s="87" t="s">
        <v>186</v>
      </c>
      <c r="H95" s="88" t="s">
        <v>184</v>
      </c>
      <c r="I95" s="89" t="s">
        <v>176</v>
      </c>
      <c r="J95" s="90" t="s">
        <v>174</v>
      </c>
      <c r="K95" s="181" t="s">
        <v>180</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Resultado Elecciones 28M 2023</v>
      </c>
      <c r="C96" s="85" t="str" cm="1">
        <f t="array" ref="C96">IFERROR(INDEX('03.Muestra'!$F$8:$F$42,SMALL(IF("Página Web"='03.Muestra'!$D$8:$D$42,ROW('03.Muestra'!$F$8:$F$42)-MIN(ROW('03.Muestra'!$D$8:$D$42))+1,""),ROW()-94)),"")</f>
        <v>https://elecciones.comunidad.madrid/es/resultados-elecciones-asamblea-madrid-28m-2023</v>
      </c>
      <c r="D96" s="99" t="s">
        <v>184</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Normativa electoral</v>
      </c>
      <c r="C97" s="85" t="str" cm="1">
        <f t="array" ref="C97">IFERROR(INDEX('03.Muestra'!$F$8:$F$42,SMALL(IF("Página Web"='03.Muestra'!$D$8:$D$42,ROW('03.Muestra'!$F$8:$F$42)-MIN(ROW('03.Muestra'!$D$8:$D$42))+1,""),ROW()-94)),"")</f>
        <v>https://elecciones.comunidad.madrid/es/informacion-electoral/normativa-electoral</v>
      </c>
      <c r="D97" s="99" t="s">
        <v>184</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Calendario electoral</v>
      </c>
      <c r="C98" s="85" t="str" cm="1">
        <f t="array" ref="C98">IFERROR(INDEX('03.Muestra'!$F$8:$F$42,SMALL(IF("Página Web"='03.Muestra'!$D$8:$D$42,ROW('03.Muestra'!$F$8:$F$42)-MIN(ROW('03.Muestra'!$D$8:$D$42))+1,""),ROW()-94)),"")</f>
        <v>https://elecciones.comunidad.madrid/es/informacion-electoral/calendario-electoral</v>
      </c>
      <c r="D98" s="99" t="s">
        <v>184</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Direcciones y teléfonos</v>
      </c>
      <c r="C99" s="85" t="str" cm="1">
        <f t="array" ref="C99">IFERROR(INDEX('03.Muestra'!$F$8:$F$42,SMALL(IF("Página Web"='03.Muestra'!$D$8:$D$42,ROW('03.Muestra'!$F$8:$F$42)-MIN(ROW('03.Muestra'!$D$8:$D$42))+1,""),ROW()-94)),"")</f>
        <v>https://elecciones.comunidad.madrid/es/juntas-electorales/direcciones-telefonos</v>
      </c>
      <c r="D99" s="99" t="s">
        <v>184</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Impresos electrónicos</v>
      </c>
      <c r="C100" s="85" t="str" cm="1">
        <f t="array" ref="C100">IFERROR(INDEX('03.Muestra'!$F$8:$F$42,SMALL(IF("Página Web"='03.Muestra'!$D$8:$D$42,ROW('03.Muestra'!$F$8:$F$42)-MIN(ROW('03.Muestra'!$D$8:$D$42))+1,""),ROW()-94)),"")</f>
        <v>https://elecciones.comunidad.madrid/es/formaciones-politicas/impresos-electronicos</v>
      </c>
      <c r="D100" s="99" t="s">
        <v>184</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Listado de candidaturas</v>
      </c>
      <c r="C101" s="85" t="str" cm="1">
        <f t="array" ref="C101">IFERROR(INDEX('03.Muestra'!$F$8:$F$42,SMALL(IF("Página Web"='03.Muestra'!$D$8:$D$42,ROW('03.Muestra'!$F$8:$F$42)-MIN(ROW('03.Muestra'!$D$8:$D$42))+1,""),ROW()-94)),"")</f>
        <v>https://elecciones.comunidad.madrid/es/formaciones-politicas/listado-candidaturas-proclamadas</v>
      </c>
      <c r="D101" s="99" t="s">
        <v>184</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Partido Feminista de España</v>
      </c>
      <c r="C102" s="85" t="str" cm="1">
        <f t="array" ref="C102">IFERROR(INDEX('03.Muestra'!$F$8:$F$42,SMALL(IF("Página Web"='03.Muestra'!$D$8:$D$42,ROW('03.Muestra'!$F$8:$F$42)-MIN(ROW('03.Muestra'!$D$8:$D$42))+1,""),ROW()-94)),"")</f>
        <v>https://elecciones.comunidad.madrid/es/formaciones-politicas/listado-candidaturas/partido-feminista-espana</v>
      </c>
      <c r="D102" s="99" t="s">
        <v>184</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¿Dónde voto?</v>
      </c>
      <c r="C103" s="85" t="str" cm="1">
        <f t="array" ref="C103">IFERROR(INDEX('03.Muestra'!$F$8:$F$42,SMALL(IF("Página Web"='03.Muestra'!$D$8:$D$42,ROW('03.Muestra'!$F$8:$F$42)-MIN(ROW('03.Muestra'!$D$8:$D$42))+1,""),ROW()-94)),"")</f>
        <v>https://elecciones.comunidad.madrid/es/votar/donde-voto</v>
      </c>
      <c r="D103" s="99" t="s">
        <v>184</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Voto presencial</v>
      </c>
      <c r="C104" s="85" t="str" cm="1">
        <f t="array" ref="C104">IFERROR(INDEX('03.Muestra'!$F$8:$F$42,SMALL(IF("Página Web"='03.Muestra'!$D$8:$D$42,ROW('03.Muestra'!$F$8:$F$42)-MIN(ROW('03.Muestra'!$D$8:$D$42))+1,""),ROW()-94)),"")</f>
        <v>https://elecciones.comunidad.madrid/es/voto-local-electoral/voto-presencial</v>
      </c>
      <c r="D104" s="99" t="s">
        <v>184</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Ciudadanos temporalmente en el extranjero</v>
      </c>
      <c r="C105" s="85" t="str" cm="1">
        <f t="array" ref="C105">IFERROR(INDEX('03.Muestra'!$F$8:$F$42,SMALL(IF("Página Web"='03.Muestra'!$D$8:$D$42,ROW('03.Muestra'!$F$8:$F$42)-MIN(ROW('03.Muestra'!$D$8:$D$42))+1,""),ROW()-94)),"")</f>
        <v>https://elecciones.comunidad.madrid/es/voto-correo/solicitud-voto-temporalmente-ausentes</v>
      </c>
      <c r="D105" s="99" t="s">
        <v>184</v>
      </c>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Nuevo votante</v>
      </c>
      <c r="C106" s="85" t="str" cm="1">
        <f t="array" ref="C106">IFERROR(INDEX('03.Muestra'!$F$8:$F$42,SMALL(IF("Página Web"='03.Muestra'!$D$8:$D$42,ROW('03.Muestra'!$F$8:$F$42)-MIN(ROW('03.Muestra'!$D$8:$D$42))+1,""),ROW()-94)),"")</f>
        <v>https://elecciones.comunidad.madrid/es/votar/nuevo-votante</v>
      </c>
      <c r="D106" s="99" t="s">
        <v>184</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Simulación método D'Hondt</v>
      </c>
      <c r="C107" s="85" t="str" cm="1">
        <f t="array" ref="C107">IFERROR(INDEX('03.Muestra'!$F$8:$F$42,SMALL(IF("Página Web"='03.Muestra'!$D$8:$D$42,ROW('03.Muestra'!$F$8:$F$42)-MIN(ROW('03.Muestra'!$D$8:$D$42))+1,""),ROW()-94)),"")</f>
        <v>https://elecciones.comunidad.madrid/es/informacion-util/simulacion-metodo-dhondt</v>
      </c>
      <c r="D107" s="99" t="s">
        <v>184</v>
      </c>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Ley D'Hondt</v>
      </c>
      <c r="C108" s="85" t="str" cm="1">
        <f t="array" ref="C108">IFERROR(INDEX('03.Muestra'!$F$8:$F$42,SMALL(IF("Página Web"='03.Muestra'!$D$8:$D$42,ROW('03.Muestra'!$F$8:$F$42)-MIN(ROW('03.Muestra'!$D$8:$D$42))+1,""),ROW()-94)),"")</f>
        <v>https://elecciones.comunidad.madrid/es/resultados/ley_d_hondt</v>
      </c>
      <c r="D108" s="99" t="s">
        <v>184</v>
      </c>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Voto por correo elector CERA en España</v>
      </c>
      <c r="C109" s="85" t="str" cm="1">
        <f t="array" ref="C109">IFERROR(INDEX('03.Muestra'!$F$8:$F$42,SMALL(IF("Página Web"='03.Muestra'!$D$8:$D$42,ROW('03.Muestra'!$F$8:$F$42)-MIN(ROW('03.Muestra'!$D$8:$D$42))+1,""),ROW()-94)),"")</f>
        <v>https://elecciones.comunidad.madrid/es/preguntas-frecuentes/voto-correo-electores-residentes-extranjero</v>
      </c>
      <c r="D109" s="99" t="s">
        <v>184</v>
      </c>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Contacto</v>
      </c>
      <c r="C110" s="85" t="str" cm="1">
        <f t="array" ref="C110">IFERROR(INDEX('03.Muestra'!$F$8:$F$42,SMALL(IF("Página Web"='03.Muestra'!$D$8:$D$42,ROW('03.Muestra'!$F$8:$F$42)-MIN(ROW('03.Muestra'!$D$8:$D$42))+1,""),ROW()-94)),"")</f>
        <v>https://elecciones.comunidad.madrid/es/buzon-de-sugerencias</v>
      </c>
      <c r="D110" s="99" t="s">
        <v>184</v>
      </c>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Buscador</v>
      </c>
      <c r="C111" s="85" t="str" cm="1">
        <f t="array" ref="C111">IFERROR(INDEX('03.Muestra'!$F$8:$F$42,SMALL(IF("Página Web"='03.Muestra'!$D$8:$D$42,ROW('03.Muestra'!$F$8:$F$42)-MIN(ROW('03.Muestra'!$D$8:$D$42))+1,""),ROW()-94)),"")</f>
        <v>https://elecciones.comunidad.madrid/es/search?search_api_fulltext=partido</v>
      </c>
      <c r="D111" s="99" t="s">
        <v>184</v>
      </c>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Legal-Privacidad</v>
      </c>
      <c r="C112" s="85" t="str" cm="1">
        <f t="array" ref="C112">IFERROR(INDEX('03.Muestra'!$F$8:$F$42,SMALL(IF("Página Web"='03.Muestra'!$D$8:$D$42,ROW('03.Muestra'!$F$8:$F$42)-MIN(ROW('03.Muestra'!$D$8:$D$42))+1,""),ROW()-94)),"")</f>
        <v>https://elecciones.comunidad.madrid/es/aviso-legal</v>
      </c>
      <c r="D112" s="99" t="s">
        <v>184</v>
      </c>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https://elecciones.comunidad.madrid/es/sitemap</v>
      </c>
      <c r="D113" s="99" t="s">
        <v>184</v>
      </c>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Declaracion Accesibilidad</v>
      </c>
      <c r="C114" s="85" t="str" cm="1">
        <f t="array" ref="C114">IFERROR(INDEX('03.Muestra'!$F$8:$F$42,SMALL(IF("Página Web"='03.Muestra'!$D$8:$D$42,ROW('03.Muestra'!$F$8:$F$42)-MIN(ROW('03.Muestra'!$D$8:$D$42))+1,""),ROW()-94)),"")</f>
        <v>https://elecciones.comunidad.madrid/es/accesibilidad</v>
      </c>
      <c r="D114" s="99" t="s">
        <v>184</v>
      </c>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181</v>
      </c>
      <c r="B132" s="23" t="s">
        <v>173</v>
      </c>
      <c r="C132" s="24" t="s">
        <v>197</v>
      </c>
      <c r="D132" s="25" t="s">
        <v>183</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https://elecciones.comunidad.madrid/es</v>
      </c>
      <c r="D133" s="99" t="s">
        <v>184</v>
      </c>
      <c r="E133" s="79" t="str">
        <f t="shared" ref="E133:E167" si="6">IF(D133&lt;&gt;"",IF(AND(B133&lt;&gt;"",C133&lt;&gt;""),"","ERR"),"")</f>
        <v/>
      </c>
      <c r="F133" s="86" t="s">
        <v>185</v>
      </c>
      <c r="G133" s="87" t="s">
        <v>186</v>
      </c>
      <c r="H133" s="88" t="s">
        <v>184</v>
      </c>
      <c r="I133" s="89" t="s">
        <v>176</v>
      </c>
      <c r="J133" s="90" t="s">
        <v>174</v>
      </c>
      <c r="K133" s="181" t="s">
        <v>180</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Resultado Elecciones 28M 2023</v>
      </c>
      <c r="C134" s="85" t="str" cm="1">
        <f t="array" ref="C134">IFERROR(INDEX('03.Muestra'!$F$8:$F$42,SMALL(IF("Página Web"='03.Muestra'!$D$8:$D$42,ROW('03.Muestra'!$F$8:$F$42)-MIN(ROW('03.Muestra'!$D$8:$D$42))+1,""),ROW()-132)),"")</f>
        <v>https://elecciones.comunidad.madrid/es/resultados-elecciones-asamblea-madrid-28m-2023</v>
      </c>
      <c r="D134" s="99" t="s">
        <v>184</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Normativa electoral</v>
      </c>
      <c r="C135" s="85" t="str" cm="1">
        <f t="array" ref="C135">IFERROR(INDEX('03.Muestra'!$F$8:$F$42,SMALL(IF("Página Web"='03.Muestra'!$D$8:$D$42,ROW('03.Muestra'!$F$8:$F$42)-MIN(ROW('03.Muestra'!$D$8:$D$42))+1,""),ROW()-132)),"")</f>
        <v>https://elecciones.comunidad.madrid/es/informacion-electoral/normativa-electoral</v>
      </c>
      <c r="D135" s="99" t="s">
        <v>184</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Calendario electoral</v>
      </c>
      <c r="C136" s="85" t="str" cm="1">
        <f t="array" ref="C136">IFERROR(INDEX('03.Muestra'!$F$8:$F$42,SMALL(IF("Página Web"='03.Muestra'!$D$8:$D$42,ROW('03.Muestra'!$F$8:$F$42)-MIN(ROW('03.Muestra'!$D$8:$D$42))+1,""),ROW()-132)),"")</f>
        <v>https://elecciones.comunidad.madrid/es/informacion-electoral/calendario-electoral</v>
      </c>
      <c r="D136" s="99" t="s">
        <v>184</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Direcciones y teléfonos</v>
      </c>
      <c r="C137" s="85" t="str" cm="1">
        <f t="array" ref="C137">IFERROR(INDEX('03.Muestra'!$F$8:$F$42,SMALL(IF("Página Web"='03.Muestra'!$D$8:$D$42,ROW('03.Muestra'!$F$8:$F$42)-MIN(ROW('03.Muestra'!$D$8:$D$42))+1,""),ROW()-132)),"")</f>
        <v>https://elecciones.comunidad.madrid/es/juntas-electorales/direcciones-telefonos</v>
      </c>
      <c r="D137" s="99" t="s">
        <v>184</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Impresos electrónicos</v>
      </c>
      <c r="C138" s="85" t="str" cm="1">
        <f t="array" ref="C138">IFERROR(INDEX('03.Muestra'!$F$8:$F$42,SMALL(IF("Página Web"='03.Muestra'!$D$8:$D$42,ROW('03.Muestra'!$F$8:$F$42)-MIN(ROW('03.Muestra'!$D$8:$D$42))+1,""),ROW()-132)),"")</f>
        <v>https://elecciones.comunidad.madrid/es/formaciones-politicas/impresos-electronicos</v>
      </c>
      <c r="D138" s="99" t="s">
        <v>184</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Listado de candidaturas</v>
      </c>
      <c r="C139" s="85" t="str" cm="1">
        <f t="array" ref="C139">IFERROR(INDEX('03.Muestra'!$F$8:$F$42,SMALL(IF("Página Web"='03.Muestra'!$D$8:$D$42,ROW('03.Muestra'!$F$8:$F$42)-MIN(ROW('03.Muestra'!$D$8:$D$42))+1,""),ROW()-132)),"")</f>
        <v>https://elecciones.comunidad.madrid/es/formaciones-politicas/listado-candidaturas-proclamadas</v>
      </c>
      <c r="D139" s="99" t="s">
        <v>184</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Partido Feminista de España</v>
      </c>
      <c r="C140" s="85" t="str" cm="1">
        <f t="array" ref="C140">IFERROR(INDEX('03.Muestra'!$F$8:$F$42,SMALL(IF("Página Web"='03.Muestra'!$D$8:$D$42,ROW('03.Muestra'!$F$8:$F$42)-MIN(ROW('03.Muestra'!$D$8:$D$42))+1,""),ROW()-132)),"")</f>
        <v>https://elecciones.comunidad.madrid/es/formaciones-politicas/listado-candidaturas/partido-feminista-espana</v>
      </c>
      <c r="D140" s="99" t="s">
        <v>184</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¿Dónde voto?</v>
      </c>
      <c r="C141" s="85" t="str" cm="1">
        <f t="array" ref="C141">IFERROR(INDEX('03.Muestra'!$F$8:$F$42,SMALL(IF("Página Web"='03.Muestra'!$D$8:$D$42,ROW('03.Muestra'!$F$8:$F$42)-MIN(ROW('03.Muestra'!$D$8:$D$42))+1,""),ROW()-132)),"")</f>
        <v>https://elecciones.comunidad.madrid/es/votar/donde-voto</v>
      </c>
      <c r="D141" s="99" t="s">
        <v>184</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Voto presencial</v>
      </c>
      <c r="C142" s="85" t="str" cm="1">
        <f t="array" ref="C142">IFERROR(INDEX('03.Muestra'!$F$8:$F$42,SMALL(IF("Página Web"='03.Muestra'!$D$8:$D$42,ROW('03.Muestra'!$F$8:$F$42)-MIN(ROW('03.Muestra'!$D$8:$D$42))+1,""),ROW()-132)),"")</f>
        <v>https://elecciones.comunidad.madrid/es/voto-local-electoral/voto-presencial</v>
      </c>
      <c r="D142" s="99" t="s">
        <v>184</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Ciudadanos temporalmente en el extranjero</v>
      </c>
      <c r="C143" s="85" t="str" cm="1">
        <f t="array" ref="C143">IFERROR(INDEX('03.Muestra'!$F$8:$F$42,SMALL(IF("Página Web"='03.Muestra'!$D$8:$D$42,ROW('03.Muestra'!$F$8:$F$42)-MIN(ROW('03.Muestra'!$D$8:$D$42))+1,""),ROW()-132)),"")</f>
        <v>https://elecciones.comunidad.madrid/es/voto-correo/solicitud-voto-temporalmente-ausentes</v>
      </c>
      <c r="D143" s="99" t="s">
        <v>184</v>
      </c>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Nuevo votante</v>
      </c>
      <c r="C144" s="85" t="str" cm="1">
        <f t="array" ref="C144">IFERROR(INDEX('03.Muestra'!$F$8:$F$42,SMALL(IF("Página Web"='03.Muestra'!$D$8:$D$42,ROW('03.Muestra'!$F$8:$F$42)-MIN(ROW('03.Muestra'!$D$8:$D$42))+1,""),ROW()-132)),"")</f>
        <v>https://elecciones.comunidad.madrid/es/votar/nuevo-votante</v>
      </c>
      <c r="D144" s="99" t="s">
        <v>184</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Simulación método D'Hondt</v>
      </c>
      <c r="C145" s="85" t="str" cm="1">
        <f t="array" ref="C145">IFERROR(INDEX('03.Muestra'!$F$8:$F$42,SMALL(IF("Página Web"='03.Muestra'!$D$8:$D$42,ROW('03.Muestra'!$F$8:$F$42)-MIN(ROW('03.Muestra'!$D$8:$D$42))+1,""),ROW()-132)),"")</f>
        <v>https://elecciones.comunidad.madrid/es/informacion-util/simulacion-metodo-dhondt</v>
      </c>
      <c r="D145" s="99" t="s">
        <v>184</v>
      </c>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Ley D'Hondt</v>
      </c>
      <c r="C146" s="85" t="str" cm="1">
        <f t="array" ref="C146">IFERROR(INDEX('03.Muestra'!$F$8:$F$42,SMALL(IF("Página Web"='03.Muestra'!$D$8:$D$42,ROW('03.Muestra'!$F$8:$F$42)-MIN(ROW('03.Muestra'!$D$8:$D$42))+1,""),ROW()-132)),"")</f>
        <v>https://elecciones.comunidad.madrid/es/resultados/ley_d_hondt</v>
      </c>
      <c r="D146" s="99" t="s">
        <v>184</v>
      </c>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Voto por correo elector CERA en España</v>
      </c>
      <c r="C147" s="85" t="str" cm="1">
        <f t="array" ref="C147">IFERROR(INDEX('03.Muestra'!$F$8:$F$42,SMALL(IF("Página Web"='03.Muestra'!$D$8:$D$42,ROW('03.Muestra'!$F$8:$F$42)-MIN(ROW('03.Muestra'!$D$8:$D$42))+1,""),ROW()-132)),"")</f>
        <v>https://elecciones.comunidad.madrid/es/preguntas-frecuentes/voto-correo-electores-residentes-extranjero</v>
      </c>
      <c r="D147" s="99" t="s">
        <v>184</v>
      </c>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Contacto</v>
      </c>
      <c r="C148" s="85" t="str" cm="1">
        <f t="array" ref="C148">IFERROR(INDEX('03.Muestra'!$F$8:$F$42,SMALL(IF("Página Web"='03.Muestra'!$D$8:$D$42,ROW('03.Muestra'!$F$8:$F$42)-MIN(ROW('03.Muestra'!$D$8:$D$42))+1,""),ROW()-132)),"")</f>
        <v>https://elecciones.comunidad.madrid/es/buzon-de-sugerencias</v>
      </c>
      <c r="D148" s="99" t="s">
        <v>184</v>
      </c>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Buscador</v>
      </c>
      <c r="C149" s="85" t="str" cm="1">
        <f t="array" ref="C149">IFERROR(INDEX('03.Muestra'!$F$8:$F$42,SMALL(IF("Página Web"='03.Muestra'!$D$8:$D$42,ROW('03.Muestra'!$F$8:$F$42)-MIN(ROW('03.Muestra'!$D$8:$D$42))+1,""),ROW()-132)),"")</f>
        <v>https://elecciones.comunidad.madrid/es/search?search_api_fulltext=partido</v>
      </c>
      <c r="D149" s="99" t="s">
        <v>184</v>
      </c>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Legal-Privacidad</v>
      </c>
      <c r="C150" s="85" t="str" cm="1">
        <f t="array" ref="C150">IFERROR(INDEX('03.Muestra'!$F$8:$F$42,SMALL(IF("Página Web"='03.Muestra'!$D$8:$D$42,ROW('03.Muestra'!$F$8:$F$42)-MIN(ROW('03.Muestra'!$D$8:$D$42))+1,""),ROW()-132)),"")</f>
        <v>https://elecciones.comunidad.madrid/es/aviso-legal</v>
      </c>
      <c r="D150" s="99" t="s">
        <v>184</v>
      </c>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https://elecciones.comunidad.madrid/es/sitemap</v>
      </c>
      <c r="D151" s="99" t="s">
        <v>184</v>
      </c>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Declaracion Accesibilidad</v>
      </c>
      <c r="C152" s="85" t="str" cm="1">
        <f t="array" ref="C152">IFERROR(INDEX('03.Muestra'!$F$8:$F$42,SMALL(IF("Página Web"='03.Muestra'!$D$8:$D$42,ROW('03.Muestra'!$F$8:$F$42)-MIN(ROW('03.Muestra'!$D$8:$D$42))+1,""),ROW()-132)),"")</f>
        <v>https://elecciones.comunidad.madrid/es/accesibilidad</v>
      </c>
      <c r="D152" s="99" t="s">
        <v>184</v>
      </c>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181</v>
      </c>
      <c r="B170" s="23" t="s">
        <v>173</v>
      </c>
      <c r="C170" s="24" t="s">
        <v>198</v>
      </c>
      <c r="D170" s="25" t="s">
        <v>183</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https://elecciones.comunidad.madrid/es</v>
      </c>
      <c r="D171" s="99" t="s">
        <v>184</v>
      </c>
      <c r="E171" s="79" t="str">
        <f t="shared" ref="E171:E205" si="8">IF(D171&lt;&gt;"",IF(AND(B171&lt;&gt;"",C171&lt;&gt;""),"","ERR"),"")</f>
        <v/>
      </c>
      <c r="F171" s="86" t="s">
        <v>185</v>
      </c>
      <c r="G171" s="87" t="s">
        <v>186</v>
      </c>
      <c r="H171" s="88" t="s">
        <v>184</v>
      </c>
      <c r="I171" s="89" t="s">
        <v>176</v>
      </c>
      <c r="J171" s="90" t="s">
        <v>174</v>
      </c>
      <c r="K171" s="181" t="s">
        <v>180</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Resultado Elecciones 28M 2023</v>
      </c>
      <c r="C172" s="85" t="str" cm="1">
        <f t="array" ref="C172">IFERROR(INDEX('03.Muestra'!$F$8:$F$42,SMALL(IF("Página Web"='03.Muestra'!$D$8:$D$42,ROW('03.Muestra'!$F$8:$F$42)-MIN(ROW('03.Muestra'!$D$8:$D$42))+1,""),ROW()-170)),"")</f>
        <v>https://elecciones.comunidad.madrid/es/resultados-elecciones-asamblea-madrid-28m-2023</v>
      </c>
      <c r="D172" s="99" t="s">
        <v>184</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Normativa electoral</v>
      </c>
      <c r="C173" s="85" t="str" cm="1">
        <f t="array" ref="C173">IFERROR(INDEX('03.Muestra'!$F$8:$F$42,SMALL(IF("Página Web"='03.Muestra'!$D$8:$D$42,ROW('03.Muestra'!$F$8:$F$42)-MIN(ROW('03.Muestra'!$D$8:$D$42))+1,""),ROW()-170)),"")</f>
        <v>https://elecciones.comunidad.madrid/es/informacion-electoral/normativa-electoral</v>
      </c>
      <c r="D173" s="99" t="s">
        <v>184</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Calendario electoral</v>
      </c>
      <c r="C174" s="85" t="str" cm="1">
        <f t="array" ref="C174">IFERROR(INDEX('03.Muestra'!$F$8:$F$42,SMALL(IF("Página Web"='03.Muestra'!$D$8:$D$42,ROW('03.Muestra'!$F$8:$F$42)-MIN(ROW('03.Muestra'!$D$8:$D$42))+1,""),ROW()-170)),"")</f>
        <v>https://elecciones.comunidad.madrid/es/informacion-electoral/calendario-electoral</v>
      </c>
      <c r="D174" s="99" t="s">
        <v>184</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Direcciones y teléfonos</v>
      </c>
      <c r="C175" s="85" t="str" cm="1">
        <f t="array" ref="C175">IFERROR(INDEX('03.Muestra'!$F$8:$F$42,SMALL(IF("Página Web"='03.Muestra'!$D$8:$D$42,ROW('03.Muestra'!$F$8:$F$42)-MIN(ROW('03.Muestra'!$D$8:$D$42))+1,""),ROW()-170)),"")</f>
        <v>https://elecciones.comunidad.madrid/es/juntas-electorales/direcciones-telefonos</v>
      </c>
      <c r="D175" s="99" t="s">
        <v>184</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Impresos electrónicos</v>
      </c>
      <c r="C176" s="85" t="str" cm="1">
        <f t="array" ref="C176">IFERROR(INDEX('03.Muestra'!$F$8:$F$42,SMALL(IF("Página Web"='03.Muestra'!$D$8:$D$42,ROW('03.Muestra'!$F$8:$F$42)-MIN(ROW('03.Muestra'!$D$8:$D$42))+1,""),ROW()-170)),"")</f>
        <v>https://elecciones.comunidad.madrid/es/formaciones-politicas/impresos-electronicos</v>
      </c>
      <c r="D176" s="99" t="s">
        <v>184</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Listado de candidaturas</v>
      </c>
      <c r="C177" s="85" t="str" cm="1">
        <f t="array" ref="C177">IFERROR(INDEX('03.Muestra'!$F$8:$F$42,SMALL(IF("Página Web"='03.Muestra'!$D$8:$D$42,ROW('03.Muestra'!$F$8:$F$42)-MIN(ROW('03.Muestra'!$D$8:$D$42))+1,""),ROW()-170)),"")</f>
        <v>https://elecciones.comunidad.madrid/es/formaciones-politicas/listado-candidaturas-proclamadas</v>
      </c>
      <c r="D177" s="99" t="s">
        <v>184</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Partido Feminista de España</v>
      </c>
      <c r="C178" s="85" t="str" cm="1">
        <f t="array" ref="C178">IFERROR(INDEX('03.Muestra'!$F$8:$F$42,SMALL(IF("Página Web"='03.Muestra'!$D$8:$D$42,ROW('03.Muestra'!$F$8:$F$42)-MIN(ROW('03.Muestra'!$D$8:$D$42))+1,""),ROW()-170)),"")</f>
        <v>https://elecciones.comunidad.madrid/es/formaciones-politicas/listado-candidaturas/partido-feminista-espana</v>
      </c>
      <c r="D178" s="99" t="s">
        <v>184</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¿Dónde voto?</v>
      </c>
      <c r="C179" s="85" t="str" cm="1">
        <f t="array" ref="C179">IFERROR(INDEX('03.Muestra'!$F$8:$F$42,SMALL(IF("Página Web"='03.Muestra'!$D$8:$D$42,ROW('03.Muestra'!$F$8:$F$42)-MIN(ROW('03.Muestra'!$D$8:$D$42))+1,""),ROW()-170)),"")</f>
        <v>https://elecciones.comunidad.madrid/es/votar/donde-voto</v>
      </c>
      <c r="D179" s="99" t="s">
        <v>184</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Voto presencial</v>
      </c>
      <c r="C180" s="85" t="str" cm="1">
        <f t="array" ref="C180">IFERROR(INDEX('03.Muestra'!$F$8:$F$42,SMALL(IF("Página Web"='03.Muestra'!$D$8:$D$42,ROW('03.Muestra'!$F$8:$F$42)-MIN(ROW('03.Muestra'!$D$8:$D$42))+1,""),ROW()-170)),"")</f>
        <v>https://elecciones.comunidad.madrid/es/voto-local-electoral/voto-presencial</v>
      </c>
      <c r="D180" s="99" t="s">
        <v>184</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Ciudadanos temporalmente en el extranjero</v>
      </c>
      <c r="C181" s="85" t="str" cm="1">
        <f t="array" ref="C181">IFERROR(INDEX('03.Muestra'!$F$8:$F$42,SMALL(IF("Página Web"='03.Muestra'!$D$8:$D$42,ROW('03.Muestra'!$F$8:$F$42)-MIN(ROW('03.Muestra'!$D$8:$D$42))+1,""),ROW()-170)),"")</f>
        <v>https://elecciones.comunidad.madrid/es/voto-correo/solicitud-voto-temporalmente-ausentes</v>
      </c>
      <c r="D181" s="99" t="s">
        <v>184</v>
      </c>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Nuevo votante</v>
      </c>
      <c r="C182" s="85" t="str" cm="1">
        <f t="array" ref="C182">IFERROR(INDEX('03.Muestra'!$F$8:$F$42,SMALL(IF("Página Web"='03.Muestra'!$D$8:$D$42,ROW('03.Muestra'!$F$8:$F$42)-MIN(ROW('03.Muestra'!$D$8:$D$42))+1,""),ROW()-170)),"")</f>
        <v>https://elecciones.comunidad.madrid/es/votar/nuevo-votante</v>
      </c>
      <c r="D182" s="99" t="s">
        <v>184</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Simulación método D'Hondt</v>
      </c>
      <c r="C183" s="85" t="str" cm="1">
        <f t="array" ref="C183">IFERROR(INDEX('03.Muestra'!$F$8:$F$42,SMALL(IF("Página Web"='03.Muestra'!$D$8:$D$42,ROW('03.Muestra'!$F$8:$F$42)-MIN(ROW('03.Muestra'!$D$8:$D$42))+1,""),ROW()-170)),"")</f>
        <v>https://elecciones.comunidad.madrid/es/informacion-util/simulacion-metodo-dhondt</v>
      </c>
      <c r="D183" s="99" t="s">
        <v>184</v>
      </c>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Ley D'Hondt</v>
      </c>
      <c r="C184" s="85" t="str" cm="1">
        <f t="array" ref="C184">IFERROR(INDEX('03.Muestra'!$F$8:$F$42,SMALL(IF("Página Web"='03.Muestra'!$D$8:$D$42,ROW('03.Muestra'!$F$8:$F$42)-MIN(ROW('03.Muestra'!$D$8:$D$42))+1,""),ROW()-170)),"")</f>
        <v>https://elecciones.comunidad.madrid/es/resultados/ley_d_hondt</v>
      </c>
      <c r="D184" s="99" t="s">
        <v>184</v>
      </c>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Voto por correo elector CERA en España</v>
      </c>
      <c r="C185" s="85" t="str" cm="1">
        <f t="array" ref="C185">IFERROR(INDEX('03.Muestra'!$F$8:$F$42,SMALL(IF("Página Web"='03.Muestra'!$D$8:$D$42,ROW('03.Muestra'!$F$8:$F$42)-MIN(ROW('03.Muestra'!$D$8:$D$42))+1,""),ROW()-170)),"")</f>
        <v>https://elecciones.comunidad.madrid/es/preguntas-frecuentes/voto-correo-electores-residentes-extranjero</v>
      </c>
      <c r="D185" s="99" t="s">
        <v>184</v>
      </c>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Contacto</v>
      </c>
      <c r="C186" s="85" t="str" cm="1">
        <f t="array" ref="C186">IFERROR(INDEX('03.Muestra'!$F$8:$F$42,SMALL(IF("Página Web"='03.Muestra'!$D$8:$D$42,ROW('03.Muestra'!$F$8:$F$42)-MIN(ROW('03.Muestra'!$D$8:$D$42))+1,""),ROW()-170)),"")</f>
        <v>https://elecciones.comunidad.madrid/es/buzon-de-sugerencias</v>
      </c>
      <c r="D186" s="99" t="s">
        <v>184</v>
      </c>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Buscador</v>
      </c>
      <c r="C187" s="85" t="str" cm="1">
        <f t="array" ref="C187">IFERROR(INDEX('03.Muestra'!$F$8:$F$42,SMALL(IF("Página Web"='03.Muestra'!$D$8:$D$42,ROW('03.Muestra'!$F$8:$F$42)-MIN(ROW('03.Muestra'!$D$8:$D$42))+1,""),ROW()-170)),"")</f>
        <v>https://elecciones.comunidad.madrid/es/search?search_api_fulltext=partido</v>
      </c>
      <c r="D187" s="99" t="s">
        <v>184</v>
      </c>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Legal-Privacidad</v>
      </c>
      <c r="C188" s="85" t="str" cm="1">
        <f t="array" ref="C188">IFERROR(INDEX('03.Muestra'!$F$8:$F$42,SMALL(IF("Página Web"='03.Muestra'!$D$8:$D$42,ROW('03.Muestra'!$F$8:$F$42)-MIN(ROW('03.Muestra'!$D$8:$D$42))+1,""),ROW()-170)),"")</f>
        <v>https://elecciones.comunidad.madrid/es/aviso-legal</v>
      </c>
      <c r="D188" s="99" t="s">
        <v>184</v>
      </c>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https://elecciones.comunidad.madrid/es/sitemap</v>
      </c>
      <c r="D189" s="99" t="s">
        <v>184</v>
      </c>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Declaracion Accesibilidad</v>
      </c>
      <c r="C190" s="85" t="str" cm="1">
        <f t="array" ref="C190">IFERROR(INDEX('03.Muestra'!$F$8:$F$42,SMALL(IF("Página Web"='03.Muestra'!$D$8:$D$42,ROW('03.Muestra'!$F$8:$F$42)-MIN(ROW('03.Muestra'!$D$8:$D$42))+1,""),ROW()-170)),"")</f>
        <v>https://elecciones.comunidad.madrid/es/accesibilidad</v>
      </c>
      <c r="D190" s="99" t="s">
        <v>184</v>
      </c>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181</v>
      </c>
      <c r="B208" s="23" t="s">
        <v>173</v>
      </c>
      <c r="C208" s="172" t="s">
        <v>199</v>
      </c>
      <c r="D208" s="25" t="s">
        <v>183</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https://elecciones.comunidad.madrid/es</v>
      </c>
      <c r="D209" s="99" t="s">
        <v>184</v>
      </c>
      <c r="E209" s="79" t="str">
        <f t="shared" ref="E209:E243" si="10">IF(D209&lt;&gt;"",IF(AND(B209&lt;&gt;"",C209&lt;&gt;""),"","ERR"),"")</f>
        <v/>
      </c>
      <c r="F209" s="86" t="s">
        <v>185</v>
      </c>
      <c r="G209" s="87" t="s">
        <v>186</v>
      </c>
      <c r="H209" s="88" t="s">
        <v>184</v>
      </c>
      <c r="I209" s="89" t="s">
        <v>176</v>
      </c>
      <c r="J209" s="90" t="s">
        <v>174</v>
      </c>
      <c r="K209" s="181" t="s">
        <v>180</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Resultado Elecciones 28M 2023</v>
      </c>
      <c r="C210" s="85" t="str" cm="1">
        <f t="array" ref="C210">IFERROR(INDEX('03.Muestra'!$F$8:$F$42,SMALL(IF("Página Web"='03.Muestra'!$D$8:$D$42,ROW('03.Muestra'!$F$8:$F$42)-MIN(ROW('03.Muestra'!$D$8:$D$42))+1,""),ROW()-208)),"")</f>
        <v>https://elecciones.comunidad.madrid/es/resultados-elecciones-asamblea-madrid-28m-2023</v>
      </c>
      <c r="D210" s="99" t="s">
        <v>184</v>
      </c>
      <c r="E210" s="79" t="str">
        <f t="shared" si="10"/>
        <v/>
      </c>
      <c r="F210" s="91">
        <f ca="1">COUNTIF($D209:INDIRECT("$D" &amp;  SUM(ROW()-1,'03.Muestra'!$D$45)-1),F209)</f>
        <v>0</v>
      </c>
      <c r="G210" s="91">
        <f ca="1">COUNTIF($D209:INDIRECT("$D" &amp;  SUM(ROW()-1,'03.Muestra'!$D$45)-1),G209)</f>
        <v>0</v>
      </c>
      <c r="H210" s="91">
        <f ca="1">COUNTIF($D209:INDIRECT("$D" &amp;  SUM(ROW()-1,'03.Muestra'!$D$45)-1),H209)</f>
        <v>20</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Normativa electoral</v>
      </c>
      <c r="C211" s="85" t="str" cm="1">
        <f t="array" ref="C211">IFERROR(INDEX('03.Muestra'!$F$8:$F$42,SMALL(IF("Página Web"='03.Muestra'!$D$8:$D$42,ROW('03.Muestra'!$F$8:$F$42)-MIN(ROW('03.Muestra'!$D$8:$D$42))+1,""),ROW()-208)),"")</f>
        <v>https://elecciones.comunidad.madrid/es/informacion-electoral/normativa-electoral</v>
      </c>
      <c r="D211" s="99" t="s">
        <v>184</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Calendario electoral</v>
      </c>
      <c r="C212" s="85" t="str" cm="1">
        <f t="array" ref="C212">IFERROR(INDEX('03.Muestra'!$F$8:$F$42,SMALL(IF("Página Web"='03.Muestra'!$D$8:$D$42,ROW('03.Muestra'!$F$8:$F$42)-MIN(ROW('03.Muestra'!$D$8:$D$42))+1,""),ROW()-208)),"")</f>
        <v>https://elecciones.comunidad.madrid/es/informacion-electoral/calendario-electoral</v>
      </c>
      <c r="D212" s="99" t="s">
        <v>184</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Direcciones y teléfonos</v>
      </c>
      <c r="C213" s="85" t="str" cm="1">
        <f t="array" ref="C213">IFERROR(INDEX('03.Muestra'!$F$8:$F$42,SMALL(IF("Página Web"='03.Muestra'!$D$8:$D$42,ROW('03.Muestra'!$F$8:$F$42)-MIN(ROW('03.Muestra'!$D$8:$D$42))+1,""),ROW()-208)),"")</f>
        <v>https://elecciones.comunidad.madrid/es/juntas-electorales/direcciones-telefonos</v>
      </c>
      <c r="D213" s="99" t="s">
        <v>184</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Impresos electrónicos</v>
      </c>
      <c r="C214" s="85" t="str" cm="1">
        <f t="array" ref="C214">IFERROR(INDEX('03.Muestra'!$F$8:$F$42,SMALL(IF("Página Web"='03.Muestra'!$D$8:$D$42,ROW('03.Muestra'!$F$8:$F$42)-MIN(ROW('03.Muestra'!$D$8:$D$42))+1,""),ROW()-208)),"")</f>
        <v>https://elecciones.comunidad.madrid/es/formaciones-politicas/impresos-electronicos</v>
      </c>
      <c r="D214" s="99" t="s">
        <v>184</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Listado de candidaturas</v>
      </c>
      <c r="C215" s="85" t="str" cm="1">
        <f t="array" ref="C215">IFERROR(INDEX('03.Muestra'!$F$8:$F$42,SMALL(IF("Página Web"='03.Muestra'!$D$8:$D$42,ROW('03.Muestra'!$F$8:$F$42)-MIN(ROW('03.Muestra'!$D$8:$D$42))+1,""),ROW()-208)),"")</f>
        <v>https://elecciones.comunidad.madrid/es/formaciones-politicas/listado-candidaturas-proclamadas</v>
      </c>
      <c r="D215" s="99" t="s">
        <v>184</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Partido Feminista de España</v>
      </c>
      <c r="C216" s="85" t="str" cm="1">
        <f t="array" ref="C216">IFERROR(INDEX('03.Muestra'!$F$8:$F$42,SMALL(IF("Página Web"='03.Muestra'!$D$8:$D$42,ROW('03.Muestra'!$F$8:$F$42)-MIN(ROW('03.Muestra'!$D$8:$D$42))+1,""),ROW()-208)),"")</f>
        <v>https://elecciones.comunidad.madrid/es/formaciones-politicas/listado-candidaturas/partido-feminista-espana</v>
      </c>
      <c r="D216" s="99" t="s">
        <v>184</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¿Dónde voto?</v>
      </c>
      <c r="C217" s="85" t="str" cm="1">
        <f t="array" ref="C217">IFERROR(INDEX('03.Muestra'!$F$8:$F$42,SMALL(IF("Página Web"='03.Muestra'!$D$8:$D$42,ROW('03.Muestra'!$F$8:$F$42)-MIN(ROW('03.Muestra'!$D$8:$D$42))+1,""),ROW()-208)),"")</f>
        <v>https://elecciones.comunidad.madrid/es/votar/donde-voto</v>
      </c>
      <c r="D217" s="99" t="s">
        <v>184</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Voto presencial</v>
      </c>
      <c r="C218" s="85" t="str" cm="1">
        <f t="array" ref="C218">IFERROR(INDEX('03.Muestra'!$F$8:$F$42,SMALL(IF("Página Web"='03.Muestra'!$D$8:$D$42,ROW('03.Muestra'!$F$8:$F$42)-MIN(ROW('03.Muestra'!$D$8:$D$42))+1,""),ROW()-208)),"")</f>
        <v>https://elecciones.comunidad.madrid/es/voto-local-electoral/voto-presencial</v>
      </c>
      <c r="D218" s="99" t="s">
        <v>184</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Ciudadanos temporalmente en el extranjero</v>
      </c>
      <c r="C219" s="85" t="str" cm="1">
        <f t="array" ref="C219">IFERROR(INDEX('03.Muestra'!$F$8:$F$42,SMALL(IF("Página Web"='03.Muestra'!$D$8:$D$42,ROW('03.Muestra'!$F$8:$F$42)-MIN(ROW('03.Muestra'!$D$8:$D$42))+1,""),ROW()-208)),"")</f>
        <v>https://elecciones.comunidad.madrid/es/voto-correo/solicitud-voto-temporalmente-ausentes</v>
      </c>
      <c r="D219" s="99" t="s">
        <v>184</v>
      </c>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Nuevo votante</v>
      </c>
      <c r="C220" s="85" t="str" cm="1">
        <f t="array" ref="C220">IFERROR(INDEX('03.Muestra'!$F$8:$F$42,SMALL(IF("Página Web"='03.Muestra'!$D$8:$D$42,ROW('03.Muestra'!$F$8:$F$42)-MIN(ROW('03.Muestra'!$D$8:$D$42))+1,""),ROW()-208)),"")</f>
        <v>https://elecciones.comunidad.madrid/es/votar/nuevo-votante</v>
      </c>
      <c r="D220" s="99" t="s">
        <v>184</v>
      </c>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Simulación método D'Hondt</v>
      </c>
      <c r="C221" s="85" t="str" cm="1">
        <f t="array" ref="C221">IFERROR(INDEX('03.Muestra'!$F$8:$F$42,SMALL(IF("Página Web"='03.Muestra'!$D$8:$D$42,ROW('03.Muestra'!$F$8:$F$42)-MIN(ROW('03.Muestra'!$D$8:$D$42))+1,""),ROW()-208)),"")</f>
        <v>https://elecciones.comunidad.madrid/es/informacion-util/simulacion-metodo-dhondt</v>
      </c>
      <c r="D221" s="99" t="s">
        <v>184</v>
      </c>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Ley D'Hondt</v>
      </c>
      <c r="C222" s="85" t="str" cm="1">
        <f t="array" ref="C222">IFERROR(INDEX('03.Muestra'!$F$8:$F$42,SMALL(IF("Página Web"='03.Muestra'!$D$8:$D$42,ROW('03.Muestra'!$F$8:$F$42)-MIN(ROW('03.Muestra'!$D$8:$D$42))+1,""),ROW()-208)),"")</f>
        <v>https://elecciones.comunidad.madrid/es/resultados/ley_d_hondt</v>
      </c>
      <c r="D222" s="99" t="s">
        <v>184</v>
      </c>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Voto por correo elector CERA en España</v>
      </c>
      <c r="C223" s="85" t="str" cm="1">
        <f t="array" ref="C223">IFERROR(INDEX('03.Muestra'!$F$8:$F$42,SMALL(IF("Página Web"='03.Muestra'!$D$8:$D$42,ROW('03.Muestra'!$F$8:$F$42)-MIN(ROW('03.Muestra'!$D$8:$D$42))+1,""),ROW()-208)),"")</f>
        <v>https://elecciones.comunidad.madrid/es/preguntas-frecuentes/voto-correo-electores-residentes-extranjero</v>
      </c>
      <c r="D223" s="99" t="s">
        <v>184</v>
      </c>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Contacto</v>
      </c>
      <c r="C224" s="85" t="str" cm="1">
        <f t="array" ref="C224">IFERROR(INDEX('03.Muestra'!$F$8:$F$42,SMALL(IF("Página Web"='03.Muestra'!$D$8:$D$42,ROW('03.Muestra'!$F$8:$F$42)-MIN(ROW('03.Muestra'!$D$8:$D$42))+1,""),ROW()-208)),"")</f>
        <v>https://elecciones.comunidad.madrid/es/buzon-de-sugerencias</v>
      </c>
      <c r="D224" s="99" t="s">
        <v>184</v>
      </c>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Buscador</v>
      </c>
      <c r="C225" s="85" t="str" cm="1">
        <f t="array" ref="C225">IFERROR(INDEX('03.Muestra'!$F$8:$F$42,SMALL(IF("Página Web"='03.Muestra'!$D$8:$D$42,ROW('03.Muestra'!$F$8:$F$42)-MIN(ROW('03.Muestra'!$D$8:$D$42))+1,""),ROW()-208)),"")</f>
        <v>https://elecciones.comunidad.madrid/es/search?search_api_fulltext=partido</v>
      </c>
      <c r="D225" s="99" t="s">
        <v>184</v>
      </c>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Aviso Legal-Privacidad</v>
      </c>
      <c r="C226" s="85" t="str" cm="1">
        <f t="array" ref="C226">IFERROR(INDEX('03.Muestra'!$F$8:$F$42,SMALL(IF("Página Web"='03.Muestra'!$D$8:$D$42,ROW('03.Muestra'!$F$8:$F$42)-MIN(ROW('03.Muestra'!$D$8:$D$42))+1,""),ROW()-208)),"")</f>
        <v>https://elecciones.comunidad.madrid/es/aviso-legal</v>
      </c>
      <c r="D226" s="99" t="s">
        <v>184</v>
      </c>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Mapa Web</v>
      </c>
      <c r="C227" s="85" t="str" cm="1">
        <f t="array" ref="C227">IFERROR(INDEX('03.Muestra'!$F$8:$F$42,SMALL(IF("Página Web"='03.Muestra'!$D$8:$D$42,ROW('03.Muestra'!$F$8:$F$42)-MIN(ROW('03.Muestra'!$D$8:$D$42))+1,""),ROW()-208)),"")</f>
        <v>https://elecciones.comunidad.madrid/es/sitemap</v>
      </c>
      <c r="D227" s="99" t="s">
        <v>184</v>
      </c>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Declaracion Accesibilidad</v>
      </c>
      <c r="C228" s="85" t="str" cm="1">
        <f t="array" ref="C228">IFERROR(INDEX('03.Muestra'!$F$8:$F$42,SMALL(IF("Página Web"='03.Muestra'!$D$8:$D$42,ROW('03.Muestra'!$F$8:$F$42)-MIN(ROW('03.Muestra'!$D$8:$D$42))+1,""),ROW()-208)),"")</f>
        <v>https://elecciones.comunidad.madrid/es/accesibilidad</v>
      </c>
      <c r="D228" s="99" t="s">
        <v>184</v>
      </c>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181</v>
      </c>
      <c r="B246" s="23" t="s">
        <v>173</v>
      </c>
      <c r="C246" s="172" t="s">
        <v>200</v>
      </c>
      <c r="D246" s="25" t="s">
        <v>183</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https://elecciones.comunidad.madrid/es</v>
      </c>
      <c r="D247" s="99" t="s">
        <v>184</v>
      </c>
      <c r="E247" s="79" t="str">
        <f t="shared" ref="E247:E281" si="12">IF(D247&lt;&gt;"",IF(AND(B247&lt;&gt;"",C247&lt;&gt;""),"","ERR"),"")</f>
        <v/>
      </c>
      <c r="F247" s="86" t="s">
        <v>185</v>
      </c>
      <c r="G247" s="87" t="s">
        <v>186</v>
      </c>
      <c r="H247" s="88" t="s">
        <v>184</v>
      </c>
      <c r="I247" s="89" t="s">
        <v>176</v>
      </c>
      <c r="J247" s="90" t="s">
        <v>174</v>
      </c>
      <c r="K247" s="181" t="s">
        <v>180</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Resultado Elecciones 28M 2023</v>
      </c>
      <c r="C248" s="85" t="str" cm="1">
        <f t="array" ref="C248">IFERROR(INDEX('03.Muestra'!$F$8:$F$42,SMALL(IF("Página Web"='03.Muestra'!$D$8:$D$42,ROW('03.Muestra'!$F$8:$F$42)-MIN(ROW('03.Muestra'!$D$8:$D$42))+1,""),ROW()-246)),"")</f>
        <v>https://elecciones.comunidad.madrid/es/resultados-elecciones-asamblea-madrid-28m-2023</v>
      </c>
      <c r="D248" s="99" t="s">
        <v>184</v>
      </c>
      <c r="E248" s="79" t="str">
        <f t="shared" si="12"/>
        <v/>
      </c>
      <c r="F248" s="91">
        <f ca="1">COUNTIF($D247:INDIRECT("$D" &amp;  SUM(ROW()-1,'03.Muestra'!$D$45)-1),F247)</f>
        <v>0</v>
      </c>
      <c r="G248" s="91">
        <f ca="1">COUNTIF($D247:INDIRECT("$D" &amp;  SUM(ROW()-1,'03.Muestra'!$D$45)-1),G247)</f>
        <v>0</v>
      </c>
      <c r="H248" s="91">
        <f ca="1">COUNTIF($D247:INDIRECT("$D" &amp;  SUM(ROW()-1,'03.Muestra'!$D$45)-1),H247)</f>
        <v>20</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Normativa electoral</v>
      </c>
      <c r="C249" s="85" t="str" cm="1">
        <f t="array" ref="C249">IFERROR(INDEX('03.Muestra'!$F$8:$F$42,SMALL(IF("Página Web"='03.Muestra'!$D$8:$D$42,ROW('03.Muestra'!$F$8:$F$42)-MIN(ROW('03.Muestra'!$D$8:$D$42))+1,""),ROW()-246)),"")</f>
        <v>https://elecciones.comunidad.madrid/es/informacion-electoral/normativa-electoral</v>
      </c>
      <c r="D249" s="99" t="s">
        <v>184</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Calendario electoral</v>
      </c>
      <c r="C250" s="85" t="str" cm="1">
        <f t="array" ref="C250">IFERROR(INDEX('03.Muestra'!$F$8:$F$42,SMALL(IF("Página Web"='03.Muestra'!$D$8:$D$42,ROW('03.Muestra'!$F$8:$F$42)-MIN(ROW('03.Muestra'!$D$8:$D$42))+1,""),ROW()-246)),"")</f>
        <v>https://elecciones.comunidad.madrid/es/informacion-electoral/calendario-electoral</v>
      </c>
      <c r="D250" s="99" t="s">
        <v>184</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Direcciones y teléfonos</v>
      </c>
      <c r="C251" s="85" t="str" cm="1">
        <f t="array" ref="C251">IFERROR(INDEX('03.Muestra'!$F$8:$F$42,SMALL(IF("Página Web"='03.Muestra'!$D$8:$D$42,ROW('03.Muestra'!$F$8:$F$42)-MIN(ROW('03.Muestra'!$D$8:$D$42))+1,""),ROW()-246)),"")</f>
        <v>https://elecciones.comunidad.madrid/es/juntas-electorales/direcciones-telefonos</v>
      </c>
      <c r="D251" s="99" t="s">
        <v>184</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Impresos electrónicos</v>
      </c>
      <c r="C252" s="85" t="str" cm="1">
        <f t="array" ref="C252">IFERROR(INDEX('03.Muestra'!$F$8:$F$42,SMALL(IF("Página Web"='03.Muestra'!$D$8:$D$42,ROW('03.Muestra'!$F$8:$F$42)-MIN(ROW('03.Muestra'!$D$8:$D$42))+1,""),ROW()-246)),"")</f>
        <v>https://elecciones.comunidad.madrid/es/formaciones-politicas/impresos-electronicos</v>
      </c>
      <c r="D252" s="99" t="s">
        <v>184</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Listado de candidaturas</v>
      </c>
      <c r="C253" s="85" t="str" cm="1">
        <f t="array" ref="C253">IFERROR(INDEX('03.Muestra'!$F$8:$F$42,SMALL(IF("Página Web"='03.Muestra'!$D$8:$D$42,ROW('03.Muestra'!$F$8:$F$42)-MIN(ROW('03.Muestra'!$D$8:$D$42))+1,""),ROW()-246)),"")</f>
        <v>https://elecciones.comunidad.madrid/es/formaciones-politicas/listado-candidaturas-proclamadas</v>
      </c>
      <c r="D253" s="99" t="s">
        <v>184</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Partido Feminista de España</v>
      </c>
      <c r="C254" s="85" t="str" cm="1">
        <f t="array" ref="C254">IFERROR(INDEX('03.Muestra'!$F$8:$F$42,SMALL(IF("Página Web"='03.Muestra'!$D$8:$D$42,ROW('03.Muestra'!$F$8:$F$42)-MIN(ROW('03.Muestra'!$D$8:$D$42))+1,""),ROW()-246)),"")</f>
        <v>https://elecciones.comunidad.madrid/es/formaciones-politicas/listado-candidaturas/partido-feminista-espana</v>
      </c>
      <c r="D254" s="99" t="s">
        <v>184</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¿Dónde voto?</v>
      </c>
      <c r="C255" s="85" t="str" cm="1">
        <f t="array" ref="C255">IFERROR(INDEX('03.Muestra'!$F$8:$F$42,SMALL(IF("Página Web"='03.Muestra'!$D$8:$D$42,ROW('03.Muestra'!$F$8:$F$42)-MIN(ROW('03.Muestra'!$D$8:$D$42))+1,""),ROW()-246)),"")</f>
        <v>https://elecciones.comunidad.madrid/es/votar/donde-voto</v>
      </c>
      <c r="D255" s="99" t="s">
        <v>184</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Voto presencial</v>
      </c>
      <c r="C256" s="85" t="str" cm="1">
        <f t="array" ref="C256">IFERROR(INDEX('03.Muestra'!$F$8:$F$42,SMALL(IF("Página Web"='03.Muestra'!$D$8:$D$42,ROW('03.Muestra'!$F$8:$F$42)-MIN(ROW('03.Muestra'!$D$8:$D$42))+1,""),ROW()-246)),"")</f>
        <v>https://elecciones.comunidad.madrid/es/voto-local-electoral/voto-presencial</v>
      </c>
      <c r="D256" s="99" t="s">
        <v>184</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Ciudadanos temporalmente en el extranjero</v>
      </c>
      <c r="C257" s="85" t="str" cm="1">
        <f t="array" ref="C257">IFERROR(INDEX('03.Muestra'!$F$8:$F$42,SMALL(IF("Página Web"='03.Muestra'!$D$8:$D$42,ROW('03.Muestra'!$F$8:$F$42)-MIN(ROW('03.Muestra'!$D$8:$D$42))+1,""),ROW()-246)),"")</f>
        <v>https://elecciones.comunidad.madrid/es/voto-correo/solicitud-voto-temporalmente-ausentes</v>
      </c>
      <c r="D257" s="99" t="s">
        <v>184</v>
      </c>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Nuevo votante</v>
      </c>
      <c r="C258" s="85" t="str" cm="1">
        <f t="array" ref="C258">IFERROR(INDEX('03.Muestra'!$F$8:$F$42,SMALL(IF("Página Web"='03.Muestra'!$D$8:$D$42,ROW('03.Muestra'!$F$8:$F$42)-MIN(ROW('03.Muestra'!$D$8:$D$42))+1,""),ROW()-246)),"")</f>
        <v>https://elecciones.comunidad.madrid/es/votar/nuevo-votante</v>
      </c>
      <c r="D258" s="99" t="s">
        <v>184</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Simulación método D'Hondt</v>
      </c>
      <c r="C259" s="85" t="str" cm="1">
        <f t="array" ref="C259">IFERROR(INDEX('03.Muestra'!$F$8:$F$42,SMALL(IF("Página Web"='03.Muestra'!$D$8:$D$42,ROW('03.Muestra'!$F$8:$F$42)-MIN(ROW('03.Muestra'!$D$8:$D$42))+1,""),ROW()-246)),"")</f>
        <v>https://elecciones.comunidad.madrid/es/informacion-util/simulacion-metodo-dhondt</v>
      </c>
      <c r="D259" s="99" t="s">
        <v>184</v>
      </c>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Ley D'Hondt</v>
      </c>
      <c r="C260" s="85" t="str" cm="1">
        <f t="array" ref="C260">IFERROR(INDEX('03.Muestra'!$F$8:$F$42,SMALL(IF("Página Web"='03.Muestra'!$D$8:$D$42,ROW('03.Muestra'!$F$8:$F$42)-MIN(ROW('03.Muestra'!$D$8:$D$42))+1,""),ROW()-246)),"")</f>
        <v>https://elecciones.comunidad.madrid/es/resultados/ley_d_hondt</v>
      </c>
      <c r="D260" s="99" t="s">
        <v>184</v>
      </c>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Voto por correo elector CERA en España</v>
      </c>
      <c r="C261" s="85" t="str" cm="1">
        <f t="array" ref="C261">IFERROR(INDEX('03.Muestra'!$F$8:$F$42,SMALL(IF("Página Web"='03.Muestra'!$D$8:$D$42,ROW('03.Muestra'!$F$8:$F$42)-MIN(ROW('03.Muestra'!$D$8:$D$42))+1,""),ROW()-246)),"")</f>
        <v>https://elecciones.comunidad.madrid/es/preguntas-frecuentes/voto-correo-electores-residentes-extranjero</v>
      </c>
      <c r="D261" s="99" t="s">
        <v>184</v>
      </c>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Contacto</v>
      </c>
      <c r="C262" s="85" t="str" cm="1">
        <f t="array" ref="C262">IFERROR(INDEX('03.Muestra'!$F$8:$F$42,SMALL(IF("Página Web"='03.Muestra'!$D$8:$D$42,ROW('03.Muestra'!$F$8:$F$42)-MIN(ROW('03.Muestra'!$D$8:$D$42))+1,""),ROW()-246)),"")</f>
        <v>https://elecciones.comunidad.madrid/es/buzon-de-sugerencias</v>
      </c>
      <c r="D262" s="99" t="s">
        <v>184</v>
      </c>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Buscador</v>
      </c>
      <c r="C263" s="85" t="str" cm="1">
        <f t="array" ref="C263">IFERROR(INDEX('03.Muestra'!$F$8:$F$42,SMALL(IF("Página Web"='03.Muestra'!$D$8:$D$42,ROW('03.Muestra'!$F$8:$F$42)-MIN(ROW('03.Muestra'!$D$8:$D$42))+1,""),ROW()-246)),"")</f>
        <v>https://elecciones.comunidad.madrid/es/search?search_api_fulltext=partido</v>
      </c>
      <c r="D263" s="99" t="s">
        <v>184</v>
      </c>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cm="1">
        <f t="array" ref="A264">IFERROR(INDEX('03.Muestra'!$B$8:$B$42,SMALL(IF("Página Web"='03.Muestra'!$D$8:$D$42,ROW('03.Muestra'!$B$8:$B$42)-MIN(ROW('03.Muestra'!$D$8:$D$42))+1,""),ROW()-246)),"")</f>
        <v>18</v>
      </c>
      <c r="B264" s="85" t="str" cm="1">
        <f t="array" ref="B264">IFERROR(INDEX('03.Muestra'!$C$8:$C$42,SMALL(IF("Página Web"='03.Muestra'!$D$8:$D$42,ROW('03.Muestra'!$C$8:$C$42)-MIN(ROW('03.Muestra'!$D$8:$D$42))+1,""),ROW()-246)),"")</f>
        <v>Aviso Legal-Privacidad</v>
      </c>
      <c r="C264" s="85" t="str" cm="1">
        <f t="array" ref="C264">IFERROR(INDEX('03.Muestra'!$F$8:$F$42,SMALL(IF("Página Web"='03.Muestra'!$D$8:$D$42,ROW('03.Muestra'!$F$8:$F$42)-MIN(ROW('03.Muestra'!$D$8:$D$42))+1,""),ROW()-246)),"")</f>
        <v>https://elecciones.comunidad.madrid/es/aviso-legal</v>
      </c>
      <c r="D264" s="99" t="s">
        <v>184</v>
      </c>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cm="1">
        <f t="array" ref="A265">IFERROR(INDEX('03.Muestra'!$B$8:$B$42,SMALL(IF("Página Web"='03.Muestra'!$D$8:$D$42,ROW('03.Muestra'!$B$8:$B$42)-MIN(ROW('03.Muestra'!$D$8:$D$42))+1,""),ROW()-246)),"")</f>
        <v>19</v>
      </c>
      <c r="B265" s="85" t="str" cm="1">
        <f t="array" ref="B265">IFERROR(INDEX('03.Muestra'!$C$8:$C$42,SMALL(IF("Página Web"='03.Muestra'!$D$8:$D$42,ROW('03.Muestra'!$C$8:$C$42)-MIN(ROW('03.Muestra'!$D$8:$D$42))+1,""),ROW()-246)),"")</f>
        <v>Mapa Web</v>
      </c>
      <c r="C265" s="85" t="str" cm="1">
        <f t="array" ref="C265">IFERROR(INDEX('03.Muestra'!$F$8:$F$42,SMALL(IF("Página Web"='03.Muestra'!$D$8:$D$42,ROW('03.Muestra'!$F$8:$F$42)-MIN(ROW('03.Muestra'!$D$8:$D$42))+1,""),ROW()-246)),"")</f>
        <v>https://elecciones.comunidad.madrid/es/sitemap</v>
      </c>
      <c r="D265" s="99" t="s">
        <v>184</v>
      </c>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cm="1">
        <f t="array" ref="A266">IFERROR(INDEX('03.Muestra'!$B$8:$B$42,SMALL(IF("Página Web"='03.Muestra'!$D$8:$D$42,ROW('03.Muestra'!$B$8:$B$42)-MIN(ROW('03.Muestra'!$D$8:$D$42))+1,""),ROW()-246)),"")</f>
        <v>20</v>
      </c>
      <c r="B266" s="85" t="str" cm="1">
        <f t="array" ref="B266">IFERROR(INDEX('03.Muestra'!$C$8:$C$42,SMALL(IF("Página Web"='03.Muestra'!$D$8:$D$42,ROW('03.Muestra'!$C$8:$C$42)-MIN(ROW('03.Muestra'!$D$8:$D$42))+1,""),ROW()-246)),"")</f>
        <v>Declaracion Accesibilidad</v>
      </c>
      <c r="C266" s="85" t="str" cm="1">
        <f t="array" ref="C266">IFERROR(INDEX('03.Muestra'!$F$8:$F$42,SMALL(IF("Página Web"='03.Muestra'!$D$8:$D$42,ROW('03.Muestra'!$F$8:$F$42)-MIN(ROW('03.Muestra'!$D$8:$D$42))+1,""),ROW()-246)),"")</f>
        <v>https://elecciones.comunidad.madrid/es/accesibilidad</v>
      </c>
      <c r="D266" s="99" t="s">
        <v>184</v>
      </c>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ref="D267:D281" si="13">IF(AND(B267&lt;&gt;"",C267&lt;&gt;""),"N/T","")</f>
        <v/>
      </c>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181</v>
      </c>
      <c r="B284" s="23" t="s">
        <v>173</v>
      </c>
      <c r="C284" s="24" t="s">
        <v>201</v>
      </c>
      <c r="D284" s="25" t="s">
        <v>183</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https://elecciones.comunidad.madrid/es</v>
      </c>
      <c r="D285" s="99" t="s">
        <v>184</v>
      </c>
      <c r="E285" s="79" t="str">
        <f t="shared" ref="E285:E319" si="14">IF(D285&lt;&gt;"",IF(AND(B285&lt;&gt;"",C285&lt;&gt;""),"","ERR"),"")</f>
        <v/>
      </c>
      <c r="F285" s="86" t="s">
        <v>185</v>
      </c>
      <c r="G285" s="87" t="s">
        <v>186</v>
      </c>
      <c r="H285" s="88" t="s">
        <v>184</v>
      </c>
      <c r="I285" s="89" t="s">
        <v>176</v>
      </c>
      <c r="J285" s="90" t="s">
        <v>174</v>
      </c>
      <c r="K285" s="181" t="s">
        <v>180</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Resultado Elecciones 28M 2023</v>
      </c>
      <c r="C286" s="85" t="str" cm="1">
        <f t="array" ref="C286">IFERROR(INDEX('03.Muestra'!$F$8:$F$42,SMALL(IF("Página Web"='03.Muestra'!$D$8:$D$42,ROW('03.Muestra'!$F$8:$F$42)-MIN(ROW('03.Muestra'!$D$8:$D$42))+1,""),ROW()-284)),"")</f>
        <v>https://elecciones.comunidad.madrid/es/resultados-elecciones-asamblea-madrid-28m-2023</v>
      </c>
      <c r="D286" s="99" t="s">
        <v>184</v>
      </c>
      <c r="E286" s="79" t="str">
        <f t="shared" si="14"/>
        <v/>
      </c>
      <c r="F286" s="91">
        <f ca="1">COUNTIF($D285:INDIRECT("$D" &amp;  SUM(ROW()-1,'03.Muestra'!$D$45)-1),F285)</f>
        <v>0</v>
      </c>
      <c r="G286" s="91">
        <f ca="1">COUNTIF($D285:INDIRECT("$D" &amp;  SUM(ROW()-1,'03.Muestra'!$D$45)-1),G285)</f>
        <v>0</v>
      </c>
      <c r="H286" s="91">
        <f ca="1">COUNTIF($D285:INDIRECT("$D" &amp;  SUM(ROW()-1,'03.Muestra'!$D$45)-1),H285)</f>
        <v>20</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Normativa electoral</v>
      </c>
      <c r="C287" s="85" t="str" cm="1">
        <f t="array" ref="C287">IFERROR(INDEX('03.Muestra'!$F$8:$F$42,SMALL(IF("Página Web"='03.Muestra'!$D$8:$D$42,ROW('03.Muestra'!$F$8:$F$42)-MIN(ROW('03.Muestra'!$D$8:$D$42))+1,""),ROW()-284)),"")</f>
        <v>https://elecciones.comunidad.madrid/es/informacion-electoral/normativa-electoral</v>
      </c>
      <c r="D287" s="99" t="s">
        <v>184</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Calendario electoral</v>
      </c>
      <c r="C288" s="85" t="str" cm="1">
        <f t="array" ref="C288">IFERROR(INDEX('03.Muestra'!$F$8:$F$42,SMALL(IF("Página Web"='03.Muestra'!$D$8:$D$42,ROW('03.Muestra'!$F$8:$F$42)-MIN(ROW('03.Muestra'!$D$8:$D$42))+1,""),ROW()-284)),"")</f>
        <v>https://elecciones.comunidad.madrid/es/informacion-electoral/calendario-electoral</v>
      </c>
      <c r="D288" s="99" t="s">
        <v>184</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Direcciones y teléfonos</v>
      </c>
      <c r="C289" s="85" t="str" cm="1">
        <f t="array" ref="C289">IFERROR(INDEX('03.Muestra'!$F$8:$F$42,SMALL(IF("Página Web"='03.Muestra'!$D$8:$D$42,ROW('03.Muestra'!$F$8:$F$42)-MIN(ROW('03.Muestra'!$D$8:$D$42))+1,""),ROW()-284)),"")</f>
        <v>https://elecciones.comunidad.madrid/es/juntas-electorales/direcciones-telefonos</v>
      </c>
      <c r="D289" s="99" t="s">
        <v>184</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Impresos electrónicos</v>
      </c>
      <c r="C290" s="85" t="str" cm="1">
        <f t="array" ref="C290">IFERROR(INDEX('03.Muestra'!$F$8:$F$42,SMALL(IF("Página Web"='03.Muestra'!$D$8:$D$42,ROW('03.Muestra'!$F$8:$F$42)-MIN(ROW('03.Muestra'!$D$8:$D$42))+1,""),ROW()-284)),"")</f>
        <v>https://elecciones.comunidad.madrid/es/formaciones-politicas/impresos-electronicos</v>
      </c>
      <c r="D290" s="99" t="s">
        <v>184</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Listado de candidaturas</v>
      </c>
      <c r="C291" s="85" t="str" cm="1">
        <f t="array" ref="C291">IFERROR(INDEX('03.Muestra'!$F$8:$F$42,SMALL(IF("Página Web"='03.Muestra'!$D$8:$D$42,ROW('03.Muestra'!$F$8:$F$42)-MIN(ROW('03.Muestra'!$D$8:$D$42))+1,""),ROW()-284)),"")</f>
        <v>https://elecciones.comunidad.madrid/es/formaciones-politicas/listado-candidaturas-proclamadas</v>
      </c>
      <c r="D291" s="99" t="s">
        <v>184</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Partido Feminista de España</v>
      </c>
      <c r="C292" s="85" t="str" cm="1">
        <f t="array" ref="C292">IFERROR(INDEX('03.Muestra'!$F$8:$F$42,SMALL(IF("Página Web"='03.Muestra'!$D$8:$D$42,ROW('03.Muestra'!$F$8:$F$42)-MIN(ROW('03.Muestra'!$D$8:$D$42))+1,""),ROW()-284)),"")</f>
        <v>https://elecciones.comunidad.madrid/es/formaciones-politicas/listado-candidaturas/partido-feminista-espana</v>
      </c>
      <c r="D292" s="99" t="s">
        <v>184</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¿Dónde voto?</v>
      </c>
      <c r="C293" s="85" t="str" cm="1">
        <f t="array" ref="C293">IFERROR(INDEX('03.Muestra'!$F$8:$F$42,SMALL(IF("Página Web"='03.Muestra'!$D$8:$D$42,ROW('03.Muestra'!$F$8:$F$42)-MIN(ROW('03.Muestra'!$D$8:$D$42))+1,""),ROW()-284)),"")</f>
        <v>https://elecciones.comunidad.madrid/es/votar/donde-voto</v>
      </c>
      <c r="D293" s="99" t="s">
        <v>184</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Voto presencial</v>
      </c>
      <c r="C294" s="85" t="str" cm="1">
        <f t="array" ref="C294">IFERROR(INDEX('03.Muestra'!$F$8:$F$42,SMALL(IF("Página Web"='03.Muestra'!$D$8:$D$42,ROW('03.Muestra'!$F$8:$F$42)-MIN(ROW('03.Muestra'!$D$8:$D$42))+1,""),ROW()-284)),"")</f>
        <v>https://elecciones.comunidad.madrid/es/voto-local-electoral/voto-presencial</v>
      </c>
      <c r="D294" s="99" t="s">
        <v>184</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Ciudadanos temporalmente en el extranjero</v>
      </c>
      <c r="C295" s="85" t="str" cm="1">
        <f t="array" ref="C295">IFERROR(INDEX('03.Muestra'!$F$8:$F$42,SMALL(IF("Página Web"='03.Muestra'!$D$8:$D$42,ROW('03.Muestra'!$F$8:$F$42)-MIN(ROW('03.Muestra'!$D$8:$D$42))+1,""),ROW()-284)),"")</f>
        <v>https://elecciones.comunidad.madrid/es/voto-correo/solicitud-voto-temporalmente-ausentes</v>
      </c>
      <c r="D295" s="99" t="s">
        <v>184</v>
      </c>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Nuevo votante</v>
      </c>
      <c r="C296" s="85" t="str" cm="1">
        <f t="array" ref="C296">IFERROR(INDEX('03.Muestra'!$F$8:$F$42,SMALL(IF("Página Web"='03.Muestra'!$D$8:$D$42,ROW('03.Muestra'!$F$8:$F$42)-MIN(ROW('03.Muestra'!$D$8:$D$42))+1,""),ROW()-284)),"")</f>
        <v>https://elecciones.comunidad.madrid/es/votar/nuevo-votante</v>
      </c>
      <c r="D296" s="99" t="s">
        <v>184</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Simulación método D'Hondt</v>
      </c>
      <c r="C297" s="85" t="str" cm="1">
        <f t="array" ref="C297">IFERROR(INDEX('03.Muestra'!$F$8:$F$42,SMALL(IF("Página Web"='03.Muestra'!$D$8:$D$42,ROW('03.Muestra'!$F$8:$F$42)-MIN(ROW('03.Muestra'!$D$8:$D$42))+1,""),ROW()-284)),"")</f>
        <v>https://elecciones.comunidad.madrid/es/informacion-util/simulacion-metodo-dhondt</v>
      </c>
      <c r="D297" s="99" t="s">
        <v>184</v>
      </c>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Ley D'Hondt</v>
      </c>
      <c r="C298" s="85" t="str" cm="1">
        <f t="array" ref="C298">IFERROR(INDEX('03.Muestra'!$F$8:$F$42,SMALL(IF("Página Web"='03.Muestra'!$D$8:$D$42,ROW('03.Muestra'!$F$8:$F$42)-MIN(ROW('03.Muestra'!$D$8:$D$42))+1,""),ROW()-284)),"")</f>
        <v>https://elecciones.comunidad.madrid/es/resultados/ley_d_hondt</v>
      </c>
      <c r="D298" s="99" t="s">
        <v>184</v>
      </c>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Voto por correo elector CERA en España</v>
      </c>
      <c r="C299" s="85" t="str" cm="1">
        <f t="array" ref="C299">IFERROR(INDEX('03.Muestra'!$F$8:$F$42,SMALL(IF("Página Web"='03.Muestra'!$D$8:$D$42,ROW('03.Muestra'!$F$8:$F$42)-MIN(ROW('03.Muestra'!$D$8:$D$42))+1,""),ROW()-284)),"")</f>
        <v>https://elecciones.comunidad.madrid/es/preguntas-frecuentes/voto-correo-electores-residentes-extranjero</v>
      </c>
      <c r="D299" s="99" t="s">
        <v>184</v>
      </c>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Contacto</v>
      </c>
      <c r="C300" s="85" t="str" cm="1">
        <f t="array" ref="C300">IFERROR(INDEX('03.Muestra'!$F$8:$F$42,SMALL(IF("Página Web"='03.Muestra'!$D$8:$D$42,ROW('03.Muestra'!$F$8:$F$42)-MIN(ROW('03.Muestra'!$D$8:$D$42))+1,""),ROW()-284)),"")</f>
        <v>https://elecciones.comunidad.madrid/es/buzon-de-sugerencias</v>
      </c>
      <c r="D300" s="99" t="s">
        <v>184</v>
      </c>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Buscador</v>
      </c>
      <c r="C301" s="85" t="str" cm="1">
        <f t="array" ref="C301">IFERROR(INDEX('03.Muestra'!$F$8:$F$42,SMALL(IF("Página Web"='03.Muestra'!$D$8:$D$42,ROW('03.Muestra'!$F$8:$F$42)-MIN(ROW('03.Muestra'!$D$8:$D$42))+1,""),ROW()-284)),"")</f>
        <v>https://elecciones.comunidad.madrid/es/search?search_api_fulltext=partido</v>
      </c>
      <c r="D301" s="99" t="s">
        <v>184</v>
      </c>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cm="1">
        <f t="array" ref="A302">IFERROR(INDEX('03.Muestra'!$B$8:$B$42,SMALL(IF("Página Web"='03.Muestra'!$D$8:$D$42,ROW('03.Muestra'!$B$8:$B$42)-MIN(ROW('03.Muestra'!$D$8:$D$42))+1,""),ROW()-284)),"")</f>
        <v>18</v>
      </c>
      <c r="B302" s="85" t="str" cm="1">
        <f t="array" ref="B302">IFERROR(INDEX('03.Muestra'!$C$8:$C$42,SMALL(IF("Página Web"='03.Muestra'!$D$8:$D$42,ROW('03.Muestra'!$C$8:$C$42)-MIN(ROW('03.Muestra'!$D$8:$D$42))+1,""),ROW()-284)),"")</f>
        <v>Aviso Legal-Privacidad</v>
      </c>
      <c r="C302" s="85" t="str" cm="1">
        <f t="array" ref="C302">IFERROR(INDEX('03.Muestra'!$F$8:$F$42,SMALL(IF("Página Web"='03.Muestra'!$D$8:$D$42,ROW('03.Muestra'!$F$8:$F$42)-MIN(ROW('03.Muestra'!$D$8:$D$42))+1,""),ROW()-284)),"")</f>
        <v>https://elecciones.comunidad.madrid/es/aviso-legal</v>
      </c>
      <c r="D302" s="99" t="s">
        <v>184</v>
      </c>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cm="1">
        <f t="array" ref="A303">IFERROR(INDEX('03.Muestra'!$B$8:$B$42,SMALL(IF("Página Web"='03.Muestra'!$D$8:$D$42,ROW('03.Muestra'!$B$8:$B$42)-MIN(ROW('03.Muestra'!$D$8:$D$42))+1,""),ROW()-284)),"")</f>
        <v>19</v>
      </c>
      <c r="B303" s="85" t="str" cm="1">
        <f t="array" ref="B303">IFERROR(INDEX('03.Muestra'!$C$8:$C$42,SMALL(IF("Página Web"='03.Muestra'!$D$8:$D$42,ROW('03.Muestra'!$C$8:$C$42)-MIN(ROW('03.Muestra'!$D$8:$D$42))+1,""),ROW()-284)),"")</f>
        <v>Mapa Web</v>
      </c>
      <c r="C303" s="85" t="str" cm="1">
        <f t="array" ref="C303">IFERROR(INDEX('03.Muestra'!$F$8:$F$42,SMALL(IF("Página Web"='03.Muestra'!$D$8:$D$42,ROW('03.Muestra'!$F$8:$F$42)-MIN(ROW('03.Muestra'!$D$8:$D$42))+1,""),ROW()-284)),"")</f>
        <v>https://elecciones.comunidad.madrid/es/sitemap</v>
      </c>
      <c r="D303" s="99" t="s">
        <v>184</v>
      </c>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cm="1">
        <f t="array" ref="A304">IFERROR(INDEX('03.Muestra'!$B$8:$B$42,SMALL(IF("Página Web"='03.Muestra'!$D$8:$D$42,ROW('03.Muestra'!$B$8:$B$42)-MIN(ROW('03.Muestra'!$D$8:$D$42))+1,""),ROW()-284)),"")</f>
        <v>20</v>
      </c>
      <c r="B304" s="85" t="str" cm="1">
        <f t="array" ref="B304">IFERROR(INDEX('03.Muestra'!$C$8:$C$42,SMALL(IF("Página Web"='03.Muestra'!$D$8:$D$42,ROW('03.Muestra'!$C$8:$C$42)-MIN(ROW('03.Muestra'!$D$8:$D$42))+1,""),ROW()-284)),"")</f>
        <v>Declaracion Accesibilidad</v>
      </c>
      <c r="C304" s="85" t="str" cm="1">
        <f t="array" ref="C304">IFERROR(INDEX('03.Muestra'!$F$8:$F$42,SMALL(IF("Página Web"='03.Muestra'!$D$8:$D$42,ROW('03.Muestra'!$F$8:$F$42)-MIN(ROW('03.Muestra'!$D$8:$D$42))+1,""),ROW()-284)),"")</f>
        <v>https://elecciones.comunidad.madrid/es/accesibilidad</v>
      </c>
      <c r="D304" s="99" t="s">
        <v>184</v>
      </c>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ref="D305:D319" si="15">IF(AND(B305&lt;&gt;"",C305&lt;&gt;""),"N/T","")</f>
        <v/>
      </c>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181</v>
      </c>
      <c r="B322" s="23" t="s">
        <v>173</v>
      </c>
      <c r="C322" s="24" t="s">
        <v>202</v>
      </c>
      <c r="D322" s="25" t="s">
        <v>183</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https://elecciones.comunidad.madrid/es</v>
      </c>
      <c r="D323" s="99" t="s">
        <v>184</v>
      </c>
      <c r="E323" s="79" t="str">
        <f t="shared" ref="E323:E357" si="16">IF(D323&lt;&gt;"",IF(AND(B323&lt;&gt;"",C323&lt;&gt;""),"","ERR"),"")</f>
        <v/>
      </c>
      <c r="F323" s="86" t="s">
        <v>185</v>
      </c>
      <c r="G323" s="87" t="s">
        <v>186</v>
      </c>
      <c r="H323" s="88" t="s">
        <v>184</v>
      </c>
      <c r="I323" s="89" t="s">
        <v>176</v>
      </c>
      <c r="J323" s="90" t="s">
        <v>174</v>
      </c>
      <c r="K323" s="181" t="s">
        <v>180</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Resultado Elecciones 28M 2023</v>
      </c>
      <c r="C324" s="85" t="str" cm="1">
        <f t="array" ref="C324">IFERROR(INDEX('03.Muestra'!$F$8:$F$42,SMALL(IF("Página Web"='03.Muestra'!$D$8:$D$42,ROW('03.Muestra'!$F$8:$F$42)-MIN(ROW('03.Muestra'!$D$8:$D$42))+1,""),ROW()-322)),"")</f>
        <v>https://elecciones.comunidad.madrid/es/resultados-elecciones-asamblea-madrid-28m-2023</v>
      </c>
      <c r="D324" s="99" t="s">
        <v>184</v>
      </c>
      <c r="E324" s="79" t="str">
        <f t="shared" si="16"/>
        <v/>
      </c>
      <c r="F324" s="91">
        <f ca="1">COUNTIF($D323:INDIRECT("$D" &amp;  SUM(ROW()-1,'03.Muestra'!$D$45)-1),F323)</f>
        <v>0</v>
      </c>
      <c r="G324" s="91">
        <f ca="1">COUNTIF($D323:INDIRECT("$D" &amp;  SUM(ROW()-1,'03.Muestra'!$D$45)-1),G323)</f>
        <v>0</v>
      </c>
      <c r="H324" s="91">
        <f ca="1">COUNTIF($D323:INDIRECT("$D" &amp;  SUM(ROW()-1,'03.Muestra'!$D$45)-1),H323)</f>
        <v>20</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Normativa electoral</v>
      </c>
      <c r="C325" s="85" t="str" cm="1">
        <f t="array" ref="C325">IFERROR(INDEX('03.Muestra'!$F$8:$F$42,SMALL(IF("Página Web"='03.Muestra'!$D$8:$D$42,ROW('03.Muestra'!$F$8:$F$42)-MIN(ROW('03.Muestra'!$D$8:$D$42))+1,""),ROW()-322)),"")</f>
        <v>https://elecciones.comunidad.madrid/es/informacion-electoral/normativa-electoral</v>
      </c>
      <c r="D325" s="99" t="s">
        <v>184</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Calendario electoral</v>
      </c>
      <c r="C326" s="85" t="str" cm="1">
        <f t="array" ref="C326">IFERROR(INDEX('03.Muestra'!$F$8:$F$42,SMALL(IF("Página Web"='03.Muestra'!$D$8:$D$42,ROW('03.Muestra'!$F$8:$F$42)-MIN(ROW('03.Muestra'!$D$8:$D$42))+1,""),ROW()-322)),"")</f>
        <v>https://elecciones.comunidad.madrid/es/informacion-electoral/calendario-electoral</v>
      </c>
      <c r="D326" s="99" t="s">
        <v>184</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Direcciones y teléfonos</v>
      </c>
      <c r="C327" s="85" t="str" cm="1">
        <f t="array" ref="C327">IFERROR(INDEX('03.Muestra'!$F$8:$F$42,SMALL(IF("Página Web"='03.Muestra'!$D$8:$D$42,ROW('03.Muestra'!$F$8:$F$42)-MIN(ROW('03.Muestra'!$D$8:$D$42))+1,""),ROW()-322)),"")</f>
        <v>https://elecciones.comunidad.madrid/es/juntas-electorales/direcciones-telefonos</v>
      </c>
      <c r="D327" s="99" t="s">
        <v>184</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Impresos electrónicos</v>
      </c>
      <c r="C328" s="85" t="str" cm="1">
        <f t="array" ref="C328">IFERROR(INDEX('03.Muestra'!$F$8:$F$42,SMALL(IF("Página Web"='03.Muestra'!$D$8:$D$42,ROW('03.Muestra'!$F$8:$F$42)-MIN(ROW('03.Muestra'!$D$8:$D$42))+1,""),ROW()-322)),"")</f>
        <v>https://elecciones.comunidad.madrid/es/formaciones-politicas/impresos-electronicos</v>
      </c>
      <c r="D328" s="99" t="s">
        <v>184</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Listado de candidaturas</v>
      </c>
      <c r="C329" s="85" t="str" cm="1">
        <f t="array" ref="C329">IFERROR(INDEX('03.Muestra'!$F$8:$F$42,SMALL(IF("Página Web"='03.Muestra'!$D$8:$D$42,ROW('03.Muestra'!$F$8:$F$42)-MIN(ROW('03.Muestra'!$D$8:$D$42))+1,""),ROW()-322)),"")</f>
        <v>https://elecciones.comunidad.madrid/es/formaciones-politicas/listado-candidaturas-proclamadas</v>
      </c>
      <c r="D329" s="99" t="s">
        <v>184</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Partido Feminista de España</v>
      </c>
      <c r="C330" s="85" t="str" cm="1">
        <f t="array" ref="C330">IFERROR(INDEX('03.Muestra'!$F$8:$F$42,SMALL(IF("Página Web"='03.Muestra'!$D$8:$D$42,ROW('03.Muestra'!$F$8:$F$42)-MIN(ROW('03.Muestra'!$D$8:$D$42))+1,""),ROW()-322)),"")</f>
        <v>https://elecciones.comunidad.madrid/es/formaciones-politicas/listado-candidaturas/partido-feminista-espana</v>
      </c>
      <c r="D330" s="99" t="s">
        <v>184</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¿Dónde voto?</v>
      </c>
      <c r="C331" s="85" t="str" cm="1">
        <f t="array" ref="C331">IFERROR(INDEX('03.Muestra'!$F$8:$F$42,SMALL(IF("Página Web"='03.Muestra'!$D$8:$D$42,ROW('03.Muestra'!$F$8:$F$42)-MIN(ROW('03.Muestra'!$D$8:$D$42))+1,""),ROW()-322)),"")</f>
        <v>https://elecciones.comunidad.madrid/es/votar/donde-voto</v>
      </c>
      <c r="D331" s="99" t="s">
        <v>184</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Voto presencial</v>
      </c>
      <c r="C332" s="85" t="str" cm="1">
        <f t="array" ref="C332">IFERROR(INDEX('03.Muestra'!$F$8:$F$42,SMALL(IF("Página Web"='03.Muestra'!$D$8:$D$42,ROW('03.Muestra'!$F$8:$F$42)-MIN(ROW('03.Muestra'!$D$8:$D$42))+1,""),ROW()-322)),"")</f>
        <v>https://elecciones.comunidad.madrid/es/voto-local-electoral/voto-presencial</v>
      </c>
      <c r="D332" s="99" t="s">
        <v>184</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Ciudadanos temporalmente en el extranjero</v>
      </c>
      <c r="C333" s="85" t="str" cm="1">
        <f t="array" ref="C333">IFERROR(INDEX('03.Muestra'!$F$8:$F$42,SMALL(IF("Página Web"='03.Muestra'!$D$8:$D$42,ROW('03.Muestra'!$F$8:$F$42)-MIN(ROW('03.Muestra'!$D$8:$D$42))+1,""),ROW()-322)),"")</f>
        <v>https://elecciones.comunidad.madrid/es/voto-correo/solicitud-voto-temporalmente-ausentes</v>
      </c>
      <c r="D333" s="99" t="s">
        <v>184</v>
      </c>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Nuevo votante</v>
      </c>
      <c r="C334" s="85" t="str" cm="1">
        <f t="array" ref="C334">IFERROR(INDEX('03.Muestra'!$F$8:$F$42,SMALL(IF("Página Web"='03.Muestra'!$D$8:$D$42,ROW('03.Muestra'!$F$8:$F$42)-MIN(ROW('03.Muestra'!$D$8:$D$42))+1,""),ROW()-322)),"")</f>
        <v>https://elecciones.comunidad.madrid/es/votar/nuevo-votante</v>
      </c>
      <c r="D334" s="99" t="s">
        <v>184</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Simulación método D'Hondt</v>
      </c>
      <c r="C335" s="85" t="str" cm="1">
        <f t="array" ref="C335">IFERROR(INDEX('03.Muestra'!$F$8:$F$42,SMALL(IF("Página Web"='03.Muestra'!$D$8:$D$42,ROW('03.Muestra'!$F$8:$F$42)-MIN(ROW('03.Muestra'!$D$8:$D$42))+1,""),ROW()-322)),"")</f>
        <v>https://elecciones.comunidad.madrid/es/informacion-util/simulacion-metodo-dhondt</v>
      </c>
      <c r="D335" s="99" t="s">
        <v>184</v>
      </c>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Ley D'Hondt</v>
      </c>
      <c r="C336" s="85" t="str" cm="1">
        <f t="array" ref="C336">IFERROR(INDEX('03.Muestra'!$F$8:$F$42,SMALL(IF("Página Web"='03.Muestra'!$D$8:$D$42,ROW('03.Muestra'!$F$8:$F$42)-MIN(ROW('03.Muestra'!$D$8:$D$42))+1,""),ROW()-322)),"")</f>
        <v>https://elecciones.comunidad.madrid/es/resultados/ley_d_hondt</v>
      </c>
      <c r="D336" s="99" t="s">
        <v>184</v>
      </c>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Voto por correo elector CERA en España</v>
      </c>
      <c r="C337" s="85" t="str" cm="1">
        <f t="array" ref="C337">IFERROR(INDEX('03.Muestra'!$F$8:$F$42,SMALL(IF("Página Web"='03.Muestra'!$D$8:$D$42,ROW('03.Muestra'!$F$8:$F$42)-MIN(ROW('03.Muestra'!$D$8:$D$42))+1,""),ROW()-322)),"")</f>
        <v>https://elecciones.comunidad.madrid/es/preguntas-frecuentes/voto-correo-electores-residentes-extranjero</v>
      </c>
      <c r="D337" s="99" t="s">
        <v>184</v>
      </c>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Contacto</v>
      </c>
      <c r="C338" s="85" t="str" cm="1">
        <f t="array" ref="C338">IFERROR(INDEX('03.Muestra'!$F$8:$F$42,SMALL(IF("Página Web"='03.Muestra'!$D$8:$D$42,ROW('03.Muestra'!$F$8:$F$42)-MIN(ROW('03.Muestra'!$D$8:$D$42))+1,""),ROW()-322)),"")</f>
        <v>https://elecciones.comunidad.madrid/es/buzon-de-sugerencias</v>
      </c>
      <c r="D338" s="99" t="s">
        <v>184</v>
      </c>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Buscador</v>
      </c>
      <c r="C339" s="85" t="str" cm="1">
        <f t="array" ref="C339">IFERROR(INDEX('03.Muestra'!$F$8:$F$42,SMALL(IF("Página Web"='03.Muestra'!$D$8:$D$42,ROW('03.Muestra'!$F$8:$F$42)-MIN(ROW('03.Muestra'!$D$8:$D$42))+1,""),ROW()-322)),"")</f>
        <v>https://elecciones.comunidad.madrid/es/search?search_api_fulltext=partido</v>
      </c>
      <c r="D339" s="99" t="s">
        <v>184</v>
      </c>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cm="1">
        <f t="array" ref="A340">IFERROR(INDEX('03.Muestra'!$B$8:$B$42,SMALL(IF("Página Web"='03.Muestra'!$D$8:$D$42,ROW('03.Muestra'!$B$8:$B$42)-MIN(ROW('03.Muestra'!$D$8:$D$42))+1,""),ROW()-322)),"")</f>
        <v>18</v>
      </c>
      <c r="B340" s="85" t="str" cm="1">
        <f t="array" ref="B340">IFERROR(INDEX('03.Muestra'!$C$8:$C$42,SMALL(IF("Página Web"='03.Muestra'!$D$8:$D$42,ROW('03.Muestra'!$C$8:$C$42)-MIN(ROW('03.Muestra'!$D$8:$D$42))+1,""),ROW()-322)),"")</f>
        <v>Aviso Legal-Privacidad</v>
      </c>
      <c r="C340" s="85" t="str" cm="1">
        <f t="array" ref="C340">IFERROR(INDEX('03.Muestra'!$F$8:$F$42,SMALL(IF("Página Web"='03.Muestra'!$D$8:$D$42,ROW('03.Muestra'!$F$8:$F$42)-MIN(ROW('03.Muestra'!$D$8:$D$42))+1,""),ROW()-322)),"")</f>
        <v>https://elecciones.comunidad.madrid/es/aviso-legal</v>
      </c>
      <c r="D340" s="99" t="s">
        <v>184</v>
      </c>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cm="1">
        <f t="array" ref="A341">IFERROR(INDEX('03.Muestra'!$B$8:$B$42,SMALL(IF("Página Web"='03.Muestra'!$D$8:$D$42,ROW('03.Muestra'!$B$8:$B$42)-MIN(ROW('03.Muestra'!$D$8:$D$42))+1,""),ROW()-322)),"")</f>
        <v>19</v>
      </c>
      <c r="B341" s="85" t="str" cm="1">
        <f t="array" ref="B341">IFERROR(INDEX('03.Muestra'!$C$8:$C$42,SMALL(IF("Página Web"='03.Muestra'!$D$8:$D$42,ROW('03.Muestra'!$C$8:$C$42)-MIN(ROW('03.Muestra'!$D$8:$D$42))+1,""),ROW()-322)),"")</f>
        <v>Mapa Web</v>
      </c>
      <c r="C341" s="85" t="str" cm="1">
        <f t="array" ref="C341">IFERROR(INDEX('03.Muestra'!$F$8:$F$42,SMALL(IF("Página Web"='03.Muestra'!$D$8:$D$42,ROW('03.Muestra'!$F$8:$F$42)-MIN(ROW('03.Muestra'!$D$8:$D$42))+1,""),ROW()-322)),"")</f>
        <v>https://elecciones.comunidad.madrid/es/sitemap</v>
      </c>
      <c r="D341" s="99" t="s">
        <v>184</v>
      </c>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cm="1">
        <f t="array" ref="A342">IFERROR(INDEX('03.Muestra'!$B$8:$B$42,SMALL(IF("Página Web"='03.Muestra'!$D$8:$D$42,ROW('03.Muestra'!$B$8:$B$42)-MIN(ROW('03.Muestra'!$D$8:$D$42))+1,""),ROW()-322)),"")</f>
        <v>20</v>
      </c>
      <c r="B342" s="85" t="str" cm="1">
        <f t="array" ref="B342">IFERROR(INDEX('03.Muestra'!$C$8:$C$42,SMALL(IF("Página Web"='03.Muestra'!$D$8:$D$42,ROW('03.Muestra'!$C$8:$C$42)-MIN(ROW('03.Muestra'!$D$8:$D$42))+1,""),ROW()-322)),"")</f>
        <v>Declaracion Accesibilidad</v>
      </c>
      <c r="C342" s="85" t="str" cm="1">
        <f t="array" ref="C342">IFERROR(INDEX('03.Muestra'!$F$8:$F$42,SMALL(IF("Página Web"='03.Muestra'!$D$8:$D$42,ROW('03.Muestra'!$F$8:$F$42)-MIN(ROW('03.Muestra'!$D$8:$D$42))+1,""),ROW()-322)),"")</f>
        <v>https://elecciones.comunidad.madrid/es/accesibilidad</v>
      </c>
      <c r="D342" s="99" t="s">
        <v>184</v>
      </c>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ref="D343:D357" si="17">IF(AND(B343&lt;&gt;"",C343&lt;&gt;""),"N/T","")</f>
        <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181</v>
      </c>
      <c r="B360" s="23" t="s">
        <v>173</v>
      </c>
      <c r="C360" s="24" t="s">
        <v>203</v>
      </c>
      <c r="D360" s="25" t="s">
        <v>183</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https://elecciones.comunidad.madrid/es</v>
      </c>
      <c r="D361" s="99" t="s">
        <v>184</v>
      </c>
      <c r="E361" s="79" t="str">
        <f t="shared" ref="E361:E395" si="18">IF(D361&lt;&gt;"",IF(AND(B361&lt;&gt;"",C361&lt;&gt;""),"","ERR"),"")</f>
        <v/>
      </c>
      <c r="F361" s="86" t="s">
        <v>185</v>
      </c>
      <c r="G361" s="87" t="s">
        <v>186</v>
      </c>
      <c r="H361" s="88" t="s">
        <v>184</v>
      </c>
      <c r="I361" s="89" t="s">
        <v>176</v>
      </c>
      <c r="J361" s="90" t="s">
        <v>174</v>
      </c>
      <c r="K361" s="181" t="s">
        <v>180</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Resultado Elecciones 28M 2023</v>
      </c>
      <c r="C362" s="85" t="str" cm="1">
        <f t="array" ref="C362">IFERROR(INDEX('03.Muestra'!$F$8:$F$42,SMALL(IF("Página Web"='03.Muestra'!$D$8:$D$42,ROW('03.Muestra'!$F$8:$F$42)-MIN(ROW('03.Muestra'!$D$8:$D$42))+1,""),ROW()-360)),"")</f>
        <v>https://elecciones.comunidad.madrid/es/resultados-elecciones-asamblea-madrid-28m-2023</v>
      </c>
      <c r="D362" s="99" t="s">
        <v>184</v>
      </c>
      <c r="E362" s="79" t="str">
        <f t="shared" si="18"/>
        <v/>
      </c>
      <c r="F362" s="91">
        <f ca="1">COUNTIF($D361:INDIRECT("$D" &amp;  SUM(ROW()-1,'03.Muestra'!$D$45)-1),F361)</f>
        <v>0</v>
      </c>
      <c r="G362" s="91">
        <f ca="1">COUNTIF($D361:INDIRECT("$D" &amp;  SUM(ROW()-1,'03.Muestra'!$D$45)-1),G361)</f>
        <v>0</v>
      </c>
      <c r="H362" s="91">
        <f ca="1">COUNTIF($D361:INDIRECT("$D" &amp;  SUM(ROW()-1,'03.Muestra'!$D$45)-1),H361)</f>
        <v>20</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Normativa electoral</v>
      </c>
      <c r="C363" s="85" t="str" cm="1">
        <f t="array" ref="C363">IFERROR(INDEX('03.Muestra'!$F$8:$F$42,SMALL(IF("Página Web"='03.Muestra'!$D$8:$D$42,ROW('03.Muestra'!$F$8:$F$42)-MIN(ROW('03.Muestra'!$D$8:$D$42))+1,""),ROW()-360)),"")</f>
        <v>https://elecciones.comunidad.madrid/es/informacion-electoral/normativa-electoral</v>
      </c>
      <c r="D363" s="99" t="s">
        <v>184</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Calendario electoral</v>
      </c>
      <c r="C364" s="85" t="str" cm="1">
        <f t="array" ref="C364">IFERROR(INDEX('03.Muestra'!$F$8:$F$42,SMALL(IF("Página Web"='03.Muestra'!$D$8:$D$42,ROW('03.Muestra'!$F$8:$F$42)-MIN(ROW('03.Muestra'!$D$8:$D$42))+1,""),ROW()-360)),"")</f>
        <v>https://elecciones.comunidad.madrid/es/informacion-electoral/calendario-electoral</v>
      </c>
      <c r="D364" s="99" t="s">
        <v>184</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Direcciones y teléfonos</v>
      </c>
      <c r="C365" s="85" t="str" cm="1">
        <f t="array" ref="C365">IFERROR(INDEX('03.Muestra'!$F$8:$F$42,SMALL(IF("Página Web"='03.Muestra'!$D$8:$D$42,ROW('03.Muestra'!$F$8:$F$42)-MIN(ROW('03.Muestra'!$D$8:$D$42))+1,""),ROW()-360)),"")</f>
        <v>https://elecciones.comunidad.madrid/es/juntas-electorales/direcciones-telefonos</v>
      </c>
      <c r="D365" s="99" t="s">
        <v>184</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Impresos electrónicos</v>
      </c>
      <c r="C366" s="85" t="str" cm="1">
        <f t="array" ref="C366">IFERROR(INDEX('03.Muestra'!$F$8:$F$42,SMALL(IF("Página Web"='03.Muestra'!$D$8:$D$42,ROW('03.Muestra'!$F$8:$F$42)-MIN(ROW('03.Muestra'!$D$8:$D$42))+1,""),ROW()-360)),"")</f>
        <v>https://elecciones.comunidad.madrid/es/formaciones-politicas/impresos-electronicos</v>
      </c>
      <c r="D366" s="99" t="s">
        <v>184</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Listado de candidaturas</v>
      </c>
      <c r="C367" s="85" t="str" cm="1">
        <f t="array" ref="C367">IFERROR(INDEX('03.Muestra'!$F$8:$F$42,SMALL(IF("Página Web"='03.Muestra'!$D$8:$D$42,ROW('03.Muestra'!$F$8:$F$42)-MIN(ROW('03.Muestra'!$D$8:$D$42))+1,""),ROW()-360)),"")</f>
        <v>https://elecciones.comunidad.madrid/es/formaciones-politicas/listado-candidaturas-proclamadas</v>
      </c>
      <c r="D367" s="99" t="s">
        <v>184</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Partido Feminista de España</v>
      </c>
      <c r="C368" s="85" t="str" cm="1">
        <f t="array" ref="C368">IFERROR(INDEX('03.Muestra'!$F$8:$F$42,SMALL(IF("Página Web"='03.Muestra'!$D$8:$D$42,ROW('03.Muestra'!$F$8:$F$42)-MIN(ROW('03.Muestra'!$D$8:$D$42))+1,""),ROW()-360)),"")</f>
        <v>https://elecciones.comunidad.madrid/es/formaciones-politicas/listado-candidaturas/partido-feminista-espana</v>
      </c>
      <c r="D368" s="99" t="s">
        <v>184</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¿Dónde voto?</v>
      </c>
      <c r="C369" s="85" t="str" cm="1">
        <f t="array" ref="C369">IFERROR(INDEX('03.Muestra'!$F$8:$F$42,SMALL(IF("Página Web"='03.Muestra'!$D$8:$D$42,ROW('03.Muestra'!$F$8:$F$42)-MIN(ROW('03.Muestra'!$D$8:$D$42))+1,""),ROW()-360)),"")</f>
        <v>https://elecciones.comunidad.madrid/es/votar/donde-voto</v>
      </c>
      <c r="D369" s="99" t="s">
        <v>184</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Voto presencial</v>
      </c>
      <c r="C370" s="85" t="str" cm="1">
        <f t="array" ref="C370">IFERROR(INDEX('03.Muestra'!$F$8:$F$42,SMALL(IF("Página Web"='03.Muestra'!$D$8:$D$42,ROW('03.Muestra'!$F$8:$F$42)-MIN(ROW('03.Muestra'!$D$8:$D$42))+1,""),ROW()-360)),"")</f>
        <v>https://elecciones.comunidad.madrid/es/voto-local-electoral/voto-presencial</v>
      </c>
      <c r="D370" s="99" t="s">
        <v>184</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Ciudadanos temporalmente en el extranjero</v>
      </c>
      <c r="C371" s="85" t="str" cm="1">
        <f t="array" ref="C371">IFERROR(INDEX('03.Muestra'!$F$8:$F$42,SMALL(IF("Página Web"='03.Muestra'!$D$8:$D$42,ROW('03.Muestra'!$F$8:$F$42)-MIN(ROW('03.Muestra'!$D$8:$D$42))+1,""),ROW()-360)),"")</f>
        <v>https://elecciones.comunidad.madrid/es/voto-correo/solicitud-voto-temporalmente-ausentes</v>
      </c>
      <c r="D371" s="99" t="s">
        <v>184</v>
      </c>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Nuevo votante</v>
      </c>
      <c r="C372" s="85" t="str" cm="1">
        <f t="array" ref="C372">IFERROR(INDEX('03.Muestra'!$F$8:$F$42,SMALL(IF("Página Web"='03.Muestra'!$D$8:$D$42,ROW('03.Muestra'!$F$8:$F$42)-MIN(ROW('03.Muestra'!$D$8:$D$42))+1,""),ROW()-360)),"")</f>
        <v>https://elecciones.comunidad.madrid/es/votar/nuevo-votante</v>
      </c>
      <c r="D372" s="99" t="s">
        <v>184</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Simulación método D'Hondt</v>
      </c>
      <c r="C373" s="85" t="str" cm="1">
        <f t="array" ref="C373">IFERROR(INDEX('03.Muestra'!$F$8:$F$42,SMALL(IF("Página Web"='03.Muestra'!$D$8:$D$42,ROW('03.Muestra'!$F$8:$F$42)-MIN(ROW('03.Muestra'!$D$8:$D$42))+1,""),ROW()-360)),"")</f>
        <v>https://elecciones.comunidad.madrid/es/informacion-util/simulacion-metodo-dhondt</v>
      </c>
      <c r="D373" s="99" t="s">
        <v>184</v>
      </c>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Ley D'Hondt</v>
      </c>
      <c r="C374" s="85" t="str" cm="1">
        <f t="array" ref="C374">IFERROR(INDEX('03.Muestra'!$F$8:$F$42,SMALL(IF("Página Web"='03.Muestra'!$D$8:$D$42,ROW('03.Muestra'!$F$8:$F$42)-MIN(ROW('03.Muestra'!$D$8:$D$42))+1,""),ROW()-360)),"")</f>
        <v>https://elecciones.comunidad.madrid/es/resultados/ley_d_hondt</v>
      </c>
      <c r="D374" s="99" t="s">
        <v>184</v>
      </c>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cm="1">
        <f t="array" ref="A375">IFERROR(INDEX('03.Muestra'!$B$8:$B$42,SMALL(IF("Página Web"='03.Muestra'!$D$8:$D$42,ROW('03.Muestra'!$B$8:$B$42)-MIN(ROW('03.Muestra'!$D$8:$D$42))+1,""),ROW()-360)),"")</f>
        <v>15</v>
      </c>
      <c r="B375" s="85" t="str" cm="1">
        <f t="array" ref="B375">IFERROR(INDEX('03.Muestra'!$C$8:$C$42,SMALL(IF("Página Web"='03.Muestra'!$D$8:$D$42,ROW('03.Muestra'!$C$8:$C$42)-MIN(ROW('03.Muestra'!$D$8:$D$42))+1,""),ROW()-360)),"")</f>
        <v>Voto por correo elector CERA en España</v>
      </c>
      <c r="C375" s="85" t="str" cm="1">
        <f t="array" ref="C375">IFERROR(INDEX('03.Muestra'!$F$8:$F$42,SMALL(IF("Página Web"='03.Muestra'!$D$8:$D$42,ROW('03.Muestra'!$F$8:$F$42)-MIN(ROW('03.Muestra'!$D$8:$D$42))+1,""),ROW()-360)),"")</f>
        <v>https://elecciones.comunidad.madrid/es/preguntas-frecuentes/voto-correo-electores-residentes-extranjero</v>
      </c>
      <c r="D375" s="99" t="s">
        <v>184</v>
      </c>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cm="1">
        <f t="array" ref="A376">IFERROR(INDEX('03.Muestra'!$B$8:$B$42,SMALL(IF("Página Web"='03.Muestra'!$D$8:$D$42,ROW('03.Muestra'!$B$8:$B$42)-MIN(ROW('03.Muestra'!$D$8:$D$42))+1,""),ROW()-360)),"")</f>
        <v>16</v>
      </c>
      <c r="B376" s="85" t="str" cm="1">
        <f t="array" ref="B376">IFERROR(INDEX('03.Muestra'!$C$8:$C$42,SMALL(IF("Página Web"='03.Muestra'!$D$8:$D$42,ROW('03.Muestra'!$C$8:$C$42)-MIN(ROW('03.Muestra'!$D$8:$D$42))+1,""),ROW()-360)),"")</f>
        <v>Contacto</v>
      </c>
      <c r="C376" s="85" t="str" cm="1">
        <f t="array" ref="C376">IFERROR(INDEX('03.Muestra'!$F$8:$F$42,SMALL(IF("Página Web"='03.Muestra'!$D$8:$D$42,ROW('03.Muestra'!$F$8:$F$42)-MIN(ROW('03.Muestra'!$D$8:$D$42))+1,""),ROW()-360)),"")</f>
        <v>https://elecciones.comunidad.madrid/es/buzon-de-sugerencias</v>
      </c>
      <c r="D376" s="99" t="s">
        <v>184</v>
      </c>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cm="1">
        <f t="array" ref="A377">IFERROR(INDEX('03.Muestra'!$B$8:$B$42,SMALL(IF("Página Web"='03.Muestra'!$D$8:$D$42,ROW('03.Muestra'!$B$8:$B$42)-MIN(ROW('03.Muestra'!$D$8:$D$42))+1,""),ROW()-360)),"")</f>
        <v>17</v>
      </c>
      <c r="B377" s="85" t="str" cm="1">
        <f t="array" ref="B377">IFERROR(INDEX('03.Muestra'!$C$8:$C$42,SMALL(IF("Página Web"='03.Muestra'!$D$8:$D$42,ROW('03.Muestra'!$C$8:$C$42)-MIN(ROW('03.Muestra'!$D$8:$D$42))+1,""),ROW()-360)),"")</f>
        <v>Buscador</v>
      </c>
      <c r="C377" s="85" t="str" cm="1">
        <f t="array" ref="C377">IFERROR(INDEX('03.Muestra'!$F$8:$F$42,SMALL(IF("Página Web"='03.Muestra'!$D$8:$D$42,ROW('03.Muestra'!$F$8:$F$42)-MIN(ROW('03.Muestra'!$D$8:$D$42))+1,""),ROW()-360)),"")</f>
        <v>https://elecciones.comunidad.madrid/es/search?search_api_fulltext=partido</v>
      </c>
      <c r="D377" s="99" t="s">
        <v>184</v>
      </c>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cm="1">
        <f t="array" ref="A378">IFERROR(INDEX('03.Muestra'!$B$8:$B$42,SMALL(IF("Página Web"='03.Muestra'!$D$8:$D$42,ROW('03.Muestra'!$B$8:$B$42)-MIN(ROW('03.Muestra'!$D$8:$D$42))+1,""),ROW()-360)),"")</f>
        <v>18</v>
      </c>
      <c r="B378" s="85" t="str" cm="1">
        <f t="array" ref="B378">IFERROR(INDEX('03.Muestra'!$C$8:$C$42,SMALL(IF("Página Web"='03.Muestra'!$D$8:$D$42,ROW('03.Muestra'!$C$8:$C$42)-MIN(ROW('03.Muestra'!$D$8:$D$42))+1,""),ROW()-360)),"")</f>
        <v>Aviso Legal-Privacidad</v>
      </c>
      <c r="C378" s="85" t="str" cm="1">
        <f t="array" ref="C378">IFERROR(INDEX('03.Muestra'!$F$8:$F$42,SMALL(IF("Página Web"='03.Muestra'!$D$8:$D$42,ROW('03.Muestra'!$F$8:$F$42)-MIN(ROW('03.Muestra'!$D$8:$D$42))+1,""),ROW()-360)),"")</f>
        <v>https://elecciones.comunidad.madrid/es/aviso-legal</v>
      </c>
      <c r="D378" s="99" t="s">
        <v>184</v>
      </c>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cm="1">
        <f t="array" ref="A379">IFERROR(INDEX('03.Muestra'!$B$8:$B$42,SMALL(IF("Página Web"='03.Muestra'!$D$8:$D$42,ROW('03.Muestra'!$B$8:$B$42)-MIN(ROW('03.Muestra'!$D$8:$D$42))+1,""),ROW()-360)),"")</f>
        <v>19</v>
      </c>
      <c r="B379" s="85" t="str" cm="1">
        <f t="array" ref="B379">IFERROR(INDEX('03.Muestra'!$C$8:$C$42,SMALL(IF("Página Web"='03.Muestra'!$D$8:$D$42,ROW('03.Muestra'!$C$8:$C$42)-MIN(ROW('03.Muestra'!$D$8:$D$42))+1,""),ROW()-360)),"")</f>
        <v>Mapa Web</v>
      </c>
      <c r="C379" s="85" t="str" cm="1">
        <f t="array" ref="C379">IFERROR(INDEX('03.Muestra'!$F$8:$F$42,SMALL(IF("Página Web"='03.Muestra'!$D$8:$D$42,ROW('03.Muestra'!$F$8:$F$42)-MIN(ROW('03.Muestra'!$D$8:$D$42))+1,""),ROW()-360)),"")</f>
        <v>https://elecciones.comunidad.madrid/es/sitemap</v>
      </c>
      <c r="D379" s="99" t="s">
        <v>184</v>
      </c>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cm="1">
        <f t="array" ref="A380">IFERROR(INDEX('03.Muestra'!$B$8:$B$42,SMALL(IF("Página Web"='03.Muestra'!$D$8:$D$42,ROW('03.Muestra'!$B$8:$B$42)-MIN(ROW('03.Muestra'!$D$8:$D$42))+1,""),ROW()-360)),"")</f>
        <v>20</v>
      </c>
      <c r="B380" s="85" t="str" cm="1">
        <f t="array" ref="B380">IFERROR(INDEX('03.Muestra'!$C$8:$C$42,SMALL(IF("Página Web"='03.Muestra'!$D$8:$D$42,ROW('03.Muestra'!$C$8:$C$42)-MIN(ROW('03.Muestra'!$D$8:$D$42))+1,""),ROW()-360)),"")</f>
        <v>Declaracion Accesibilidad</v>
      </c>
      <c r="C380" s="85" t="str" cm="1">
        <f t="array" ref="C380">IFERROR(INDEX('03.Muestra'!$F$8:$F$42,SMALL(IF("Página Web"='03.Muestra'!$D$8:$D$42,ROW('03.Muestra'!$F$8:$F$42)-MIN(ROW('03.Muestra'!$D$8:$D$42))+1,""),ROW()-360)),"")</f>
        <v>https://elecciones.comunidad.madrid/es/accesibilidad</v>
      </c>
      <c r="D380" s="99" t="s">
        <v>184</v>
      </c>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ref="D381:D395" si="19">IF(AND(B381&lt;&gt;"",C381&lt;&gt;""),"N/T","")</f>
        <v/>
      </c>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181</v>
      </c>
      <c r="B398" s="23" t="s">
        <v>173</v>
      </c>
      <c r="C398" s="24" t="s">
        <v>204</v>
      </c>
      <c r="D398" s="25" t="s">
        <v>183</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https://elecciones.comunidad.madrid/es</v>
      </c>
      <c r="D399" s="99" t="s">
        <v>184</v>
      </c>
      <c r="E399" s="79" t="str">
        <f t="shared" ref="E399:E433" si="20">IF(D399&lt;&gt;"",IF(AND(B399&lt;&gt;"",C399&lt;&gt;""),"","ERR"),"")</f>
        <v/>
      </c>
      <c r="F399" s="86" t="s">
        <v>185</v>
      </c>
      <c r="G399" s="87" t="s">
        <v>186</v>
      </c>
      <c r="H399" s="88" t="s">
        <v>184</v>
      </c>
      <c r="I399" s="89" t="s">
        <v>176</v>
      </c>
      <c r="J399" s="90" t="s">
        <v>174</v>
      </c>
      <c r="K399" s="181" t="s">
        <v>180</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Resultado Elecciones 28M 2023</v>
      </c>
      <c r="C400" s="85" t="str" cm="1">
        <f t="array" ref="C400">IFERROR(INDEX('03.Muestra'!$F$8:$F$42,SMALL(IF("Página Web"='03.Muestra'!$D$8:$D$42,ROW('03.Muestra'!$F$8:$F$42)-MIN(ROW('03.Muestra'!$D$8:$D$42))+1,""),ROW()-398)),"")</f>
        <v>https://elecciones.comunidad.madrid/es/resultados-elecciones-asamblea-madrid-28m-2023</v>
      </c>
      <c r="D400" s="99" t="s">
        <v>184</v>
      </c>
      <c r="E400" s="79" t="str">
        <f t="shared" si="20"/>
        <v/>
      </c>
      <c r="F400" s="91">
        <f ca="1">COUNTIF($D399:INDIRECT("$D" &amp;  SUM(ROW()-1,'03.Muestra'!$D$45)-1),F399)</f>
        <v>0</v>
      </c>
      <c r="G400" s="91">
        <f ca="1">COUNTIF($D399:INDIRECT("$D" &amp;  SUM(ROW()-1,'03.Muestra'!$D$45)-1),G399)</f>
        <v>0</v>
      </c>
      <c r="H400" s="91">
        <f ca="1">COUNTIF($D399:INDIRECT("$D" &amp;  SUM(ROW()-1,'03.Muestra'!$D$45)-1),H399)</f>
        <v>20</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Normativa electoral</v>
      </c>
      <c r="C401" s="85" t="str" cm="1">
        <f t="array" ref="C401">IFERROR(INDEX('03.Muestra'!$F$8:$F$42,SMALL(IF("Página Web"='03.Muestra'!$D$8:$D$42,ROW('03.Muestra'!$F$8:$F$42)-MIN(ROW('03.Muestra'!$D$8:$D$42))+1,""),ROW()-398)),"")</f>
        <v>https://elecciones.comunidad.madrid/es/informacion-electoral/normativa-electoral</v>
      </c>
      <c r="D401" s="99" t="s">
        <v>184</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Calendario electoral</v>
      </c>
      <c r="C402" s="85" t="str" cm="1">
        <f t="array" ref="C402">IFERROR(INDEX('03.Muestra'!$F$8:$F$42,SMALL(IF("Página Web"='03.Muestra'!$D$8:$D$42,ROW('03.Muestra'!$F$8:$F$42)-MIN(ROW('03.Muestra'!$D$8:$D$42))+1,""),ROW()-398)),"")</f>
        <v>https://elecciones.comunidad.madrid/es/informacion-electoral/calendario-electoral</v>
      </c>
      <c r="D402" s="99" t="s">
        <v>184</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Direcciones y teléfonos</v>
      </c>
      <c r="C403" s="85" t="str" cm="1">
        <f t="array" ref="C403">IFERROR(INDEX('03.Muestra'!$F$8:$F$42,SMALL(IF("Página Web"='03.Muestra'!$D$8:$D$42,ROW('03.Muestra'!$F$8:$F$42)-MIN(ROW('03.Muestra'!$D$8:$D$42))+1,""),ROW()-398)),"")</f>
        <v>https://elecciones.comunidad.madrid/es/juntas-electorales/direcciones-telefonos</v>
      </c>
      <c r="D403" s="99" t="s">
        <v>184</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Impresos electrónicos</v>
      </c>
      <c r="C404" s="85" t="str" cm="1">
        <f t="array" ref="C404">IFERROR(INDEX('03.Muestra'!$F$8:$F$42,SMALL(IF("Página Web"='03.Muestra'!$D$8:$D$42,ROW('03.Muestra'!$F$8:$F$42)-MIN(ROW('03.Muestra'!$D$8:$D$42))+1,""),ROW()-398)),"")</f>
        <v>https://elecciones.comunidad.madrid/es/formaciones-politicas/impresos-electronicos</v>
      </c>
      <c r="D404" s="99" t="s">
        <v>184</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Listado de candidaturas</v>
      </c>
      <c r="C405" s="85" t="str" cm="1">
        <f t="array" ref="C405">IFERROR(INDEX('03.Muestra'!$F$8:$F$42,SMALL(IF("Página Web"='03.Muestra'!$D$8:$D$42,ROW('03.Muestra'!$F$8:$F$42)-MIN(ROW('03.Muestra'!$D$8:$D$42))+1,""),ROW()-398)),"")</f>
        <v>https://elecciones.comunidad.madrid/es/formaciones-politicas/listado-candidaturas-proclamadas</v>
      </c>
      <c r="D405" s="99" t="s">
        <v>184</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Partido Feminista de España</v>
      </c>
      <c r="C406" s="85" t="str" cm="1">
        <f t="array" ref="C406">IFERROR(INDEX('03.Muestra'!$F$8:$F$42,SMALL(IF("Página Web"='03.Muestra'!$D$8:$D$42,ROW('03.Muestra'!$F$8:$F$42)-MIN(ROW('03.Muestra'!$D$8:$D$42))+1,""),ROW()-398)),"")</f>
        <v>https://elecciones.comunidad.madrid/es/formaciones-politicas/listado-candidaturas/partido-feminista-espana</v>
      </c>
      <c r="D406" s="99" t="s">
        <v>184</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¿Dónde voto?</v>
      </c>
      <c r="C407" s="85" t="str" cm="1">
        <f t="array" ref="C407">IFERROR(INDEX('03.Muestra'!$F$8:$F$42,SMALL(IF("Página Web"='03.Muestra'!$D$8:$D$42,ROW('03.Muestra'!$F$8:$F$42)-MIN(ROW('03.Muestra'!$D$8:$D$42))+1,""),ROW()-398)),"")</f>
        <v>https://elecciones.comunidad.madrid/es/votar/donde-voto</v>
      </c>
      <c r="D407" s="99" t="s">
        <v>184</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Voto presencial</v>
      </c>
      <c r="C408" s="85" t="str" cm="1">
        <f t="array" ref="C408">IFERROR(INDEX('03.Muestra'!$F$8:$F$42,SMALL(IF("Página Web"='03.Muestra'!$D$8:$D$42,ROW('03.Muestra'!$F$8:$F$42)-MIN(ROW('03.Muestra'!$D$8:$D$42))+1,""),ROW()-398)),"")</f>
        <v>https://elecciones.comunidad.madrid/es/voto-local-electoral/voto-presencial</v>
      </c>
      <c r="D408" s="99" t="s">
        <v>184</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Ciudadanos temporalmente en el extranjero</v>
      </c>
      <c r="C409" s="85" t="str" cm="1">
        <f t="array" ref="C409">IFERROR(INDEX('03.Muestra'!$F$8:$F$42,SMALL(IF("Página Web"='03.Muestra'!$D$8:$D$42,ROW('03.Muestra'!$F$8:$F$42)-MIN(ROW('03.Muestra'!$D$8:$D$42))+1,""),ROW()-398)),"")</f>
        <v>https://elecciones.comunidad.madrid/es/voto-correo/solicitud-voto-temporalmente-ausentes</v>
      </c>
      <c r="D409" s="99" t="s">
        <v>184</v>
      </c>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Nuevo votante</v>
      </c>
      <c r="C410" s="85" t="str" cm="1">
        <f t="array" ref="C410">IFERROR(INDEX('03.Muestra'!$F$8:$F$42,SMALL(IF("Página Web"='03.Muestra'!$D$8:$D$42,ROW('03.Muestra'!$F$8:$F$42)-MIN(ROW('03.Muestra'!$D$8:$D$42))+1,""),ROW()-398)),"")</f>
        <v>https://elecciones.comunidad.madrid/es/votar/nuevo-votante</v>
      </c>
      <c r="D410" s="99" t="s">
        <v>184</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Simulación método D'Hondt</v>
      </c>
      <c r="C411" s="85" t="str" cm="1">
        <f t="array" ref="C411">IFERROR(INDEX('03.Muestra'!$F$8:$F$42,SMALL(IF("Página Web"='03.Muestra'!$D$8:$D$42,ROW('03.Muestra'!$F$8:$F$42)-MIN(ROW('03.Muestra'!$D$8:$D$42))+1,""),ROW()-398)),"")</f>
        <v>https://elecciones.comunidad.madrid/es/informacion-util/simulacion-metodo-dhondt</v>
      </c>
      <c r="D411" s="99" t="s">
        <v>184</v>
      </c>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Ley D'Hondt</v>
      </c>
      <c r="C412" s="85" t="str" cm="1">
        <f t="array" ref="C412">IFERROR(INDEX('03.Muestra'!$F$8:$F$42,SMALL(IF("Página Web"='03.Muestra'!$D$8:$D$42,ROW('03.Muestra'!$F$8:$F$42)-MIN(ROW('03.Muestra'!$D$8:$D$42))+1,""),ROW()-398)),"")</f>
        <v>https://elecciones.comunidad.madrid/es/resultados/ley_d_hondt</v>
      </c>
      <c r="D412" s="99" t="s">
        <v>184</v>
      </c>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cm="1">
        <f t="array" ref="A413">IFERROR(INDEX('03.Muestra'!$B$8:$B$42,SMALL(IF("Página Web"='03.Muestra'!$D$8:$D$42,ROW('03.Muestra'!$B$8:$B$42)-MIN(ROW('03.Muestra'!$D$8:$D$42))+1,""),ROW()-398)),"")</f>
        <v>15</v>
      </c>
      <c r="B413" s="85" t="str" cm="1">
        <f t="array" ref="B413">IFERROR(INDEX('03.Muestra'!$C$8:$C$42,SMALL(IF("Página Web"='03.Muestra'!$D$8:$D$42,ROW('03.Muestra'!$C$8:$C$42)-MIN(ROW('03.Muestra'!$D$8:$D$42))+1,""),ROW()-398)),"")</f>
        <v>Voto por correo elector CERA en España</v>
      </c>
      <c r="C413" s="85" t="str" cm="1">
        <f t="array" ref="C413">IFERROR(INDEX('03.Muestra'!$F$8:$F$42,SMALL(IF("Página Web"='03.Muestra'!$D$8:$D$42,ROW('03.Muestra'!$F$8:$F$42)-MIN(ROW('03.Muestra'!$D$8:$D$42))+1,""),ROW()-398)),"")</f>
        <v>https://elecciones.comunidad.madrid/es/preguntas-frecuentes/voto-correo-electores-residentes-extranjero</v>
      </c>
      <c r="D413" s="99" t="s">
        <v>184</v>
      </c>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cm="1">
        <f t="array" ref="A414">IFERROR(INDEX('03.Muestra'!$B$8:$B$42,SMALL(IF("Página Web"='03.Muestra'!$D$8:$D$42,ROW('03.Muestra'!$B$8:$B$42)-MIN(ROW('03.Muestra'!$D$8:$D$42))+1,""),ROW()-398)),"")</f>
        <v>16</v>
      </c>
      <c r="B414" s="85" t="str" cm="1">
        <f t="array" ref="B414">IFERROR(INDEX('03.Muestra'!$C$8:$C$42,SMALL(IF("Página Web"='03.Muestra'!$D$8:$D$42,ROW('03.Muestra'!$C$8:$C$42)-MIN(ROW('03.Muestra'!$D$8:$D$42))+1,""),ROW()-398)),"")</f>
        <v>Contacto</v>
      </c>
      <c r="C414" s="85" t="str" cm="1">
        <f t="array" ref="C414">IFERROR(INDEX('03.Muestra'!$F$8:$F$42,SMALL(IF("Página Web"='03.Muestra'!$D$8:$D$42,ROW('03.Muestra'!$F$8:$F$42)-MIN(ROW('03.Muestra'!$D$8:$D$42))+1,""),ROW()-398)),"")</f>
        <v>https://elecciones.comunidad.madrid/es/buzon-de-sugerencias</v>
      </c>
      <c r="D414" s="99" t="s">
        <v>184</v>
      </c>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cm="1">
        <f t="array" ref="A415">IFERROR(INDEX('03.Muestra'!$B$8:$B$42,SMALL(IF("Página Web"='03.Muestra'!$D$8:$D$42,ROW('03.Muestra'!$B$8:$B$42)-MIN(ROW('03.Muestra'!$D$8:$D$42))+1,""),ROW()-398)),"")</f>
        <v>17</v>
      </c>
      <c r="B415" s="85" t="str" cm="1">
        <f t="array" ref="B415">IFERROR(INDEX('03.Muestra'!$C$8:$C$42,SMALL(IF("Página Web"='03.Muestra'!$D$8:$D$42,ROW('03.Muestra'!$C$8:$C$42)-MIN(ROW('03.Muestra'!$D$8:$D$42))+1,""),ROW()-398)),"")</f>
        <v>Buscador</v>
      </c>
      <c r="C415" s="85" t="str" cm="1">
        <f t="array" ref="C415">IFERROR(INDEX('03.Muestra'!$F$8:$F$42,SMALL(IF("Página Web"='03.Muestra'!$D$8:$D$42,ROW('03.Muestra'!$F$8:$F$42)-MIN(ROW('03.Muestra'!$D$8:$D$42))+1,""),ROW()-398)),"")</f>
        <v>https://elecciones.comunidad.madrid/es/search?search_api_fulltext=partido</v>
      </c>
      <c r="D415" s="99" t="s">
        <v>184</v>
      </c>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cm="1">
        <f t="array" ref="A416">IFERROR(INDEX('03.Muestra'!$B$8:$B$42,SMALL(IF("Página Web"='03.Muestra'!$D$8:$D$42,ROW('03.Muestra'!$B$8:$B$42)-MIN(ROW('03.Muestra'!$D$8:$D$42))+1,""),ROW()-398)),"")</f>
        <v>18</v>
      </c>
      <c r="B416" s="85" t="str" cm="1">
        <f t="array" ref="B416">IFERROR(INDEX('03.Muestra'!$C$8:$C$42,SMALL(IF("Página Web"='03.Muestra'!$D$8:$D$42,ROW('03.Muestra'!$C$8:$C$42)-MIN(ROW('03.Muestra'!$D$8:$D$42))+1,""),ROW()-398)),"")</f>
        <v>Aviso Legal-Privacidad</v>
      </c>
      <c r="C416" s="85" t="str" cm="1">
        <f t="array" ref="C416">IFERROR(INDEX('03.Muestra'!$F$8:$F$42,SMALL(IF("Página Web"='03.Muestra'!$D$8:$D$42,ROW('03.Muestra'!$F$8:$F$42)-MIN(ROW('03.Muestra'!$D$8:$D$42))+1,""),ROW()-398)),"")</f>
        <v>https://elecciones.comunidad.madrid/es/aviso-legal</v>
      </c>
      <c r="D416" s="99" t="s">
        <v>184</v>
      </c>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cm="1">
        <f t="array" ref="A417">IFERROR(INDEX('03.Muestra'!$B$8:$B$42,SMALL(IF("Página Web"='03.Muestra'!$D$8:$D$42,ROW('03.Muestra'!$B$8:$B$42)-MIN(ROW('03.Muestra'!$D$8:$D$42))+1,""),ROW()-398)),"")</f>
        <v>19</v>
      </c>
      <c r="B417" s="85" t="str" cm="1">
        <f t="array" ref="B417">IFERROR(INDEX('03.Muestra'!$C$8:$C$42,SMALL(IF("Página Web"='03.Muestra'!$D$8:$D$42,ROW('03.Muestra'!$C$8:$C$42)-MIN(ROW('03.Muestra'!$D$8:$D$42))+1,""),ROW()-398)),"")</f>
        <v>Mapa Web</v>
      </c>
      <c r="C417" s="85" t="str" cm="1">
        <f t="array" ref="C417">IFERROR(INDEX('03.Muestra'!$F$8:$F$42,SMALL(IF("Página Web"='03.Muestra'!$D$8:$D$42,ROW('03.Muestra'!$F$8:$F$42)-MIN(ROW('03.Muestra'!$D$8:$D$42))+1,""),ROW()-398)),"")</f>
        <v>https://elecciones.comunidad.madrid/es/sitemap</v>
      </c>
      <c r="D417" s="99" t="s">
        <v>184</v>
      </c>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cm="1">
        <f t="array" ref="A418">IFERROR(INDEX('03.Muestra'!$B$8:$B$42,SMALL(IF("Página Web"='03.Muestra'!$D$8:$D$42,ROW('03.Muestra'!$B$8:$B$42)-MIN(ROW('03.Muestra'!$D$8:$D$42))+1,""),ROW()-398)),"")</f>
        <v>20</v>
      </c>
      <c r="B418" s="85" t="str" cm="1">
        <f t="array" ref="B418">IFERROR(INDEX('03.Muestra'!$C$8:$C$42,SMALL(IF("Página Web"='03.Muestra'!$D$8:$D$42,ROW('03.Muestra'!$C$8:$C$42)-MIN(ROW('03.Muestra'!$D$8:$D$42))+1,""),ROW()-398)),"")</f>
        <v>Declaracion Accesibilidad</v>
      </c>
      <c r="C418" s="85" t="str" cm="1">
        <f t="array" ref="C418">IFERROR(INDEX('03.Muestra'!$F$8:$F$42,SMALL(IF("Página Web"='03.Muestra'!$D$8:$D$42,ROW('03.Muestra'!$F$8:$F$42)-MIN(ROW('03.Muestra'!$D$8:$D$42))+1,""),ROW()-398)),"")</f>
        <v>https://elecciones.comunidad.madrid/es/accesibilidad</v>
      </c>
      <c r="D418" s="99" t="s">
        <v>184</v>
      </c>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ref="D419:D433" si="21">IF(AND(B419&lt;&gt;"",C419&lt;&gt;""),"N/T","")</f>
        <v/>
      </c>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181</v>
      </c>
      <c r="B436" s="23" t="s">
        <v>173</v>
      </c>
      <c r="C436" s="24" t="s">
        <v>205</v>
      </c>
      <c r="D436" s="25" t="s">
        <v>183</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https://elecciones.comunidad.madrid/es</v>
      </c>
      <c r="D437" s="99" t="s">
        <v>184</v>
      </c>
      <c r="E437" s="79" t="str">
        <f t="shared" ref="E437:E471" si="22">IF(D437&lt;&gt;"",IF(AND(B437&lt;&gt;"",C437&lt;&gt;""),"","ERR"),"")</f>
        <v/>
      </c>
      <c r="F437" s="86" t="s">
        <v>185</v>
      </c>
      <c r="G437" s="87" t="s">
        <v>186</v>
      </c>
      <c r="H437" s="88" t="s">
        <v>184</v>
      </c>
      <c r="I437" s="89" t="s">
        <v>176</v>
      </c>
      <c r="J437" s="90" t="s">
        <v>174</v>
      </c>
      <c r="K437" s="181" t="s">
        <v>180</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Resultado Elecciones 28M 2023</v>
      </c>
      <c r="C438" s="85" t="str" cm="1">
        <f t="array" ref="C438">IFERROR(INDEX('03.Muestra'!$F$8:$F$42,SMALL(IF("Página Web"='03.Muestra'!$D$8:$D$42,ROW('03.Muestra'!$F$8:$F$42)-MIN(ROW('03.Muestra'!$D$8:$D$42))+1,""),ROW()-436)),"")</f>
        <v>https://elecciones.comunidad.madrid/es/resultados-elecciones-asamblea-madrid-28m-2023</v>
      </c>
      <c r="D438" s="99" t="s">
        <v>184</v>
      </c>
      <c r="E438" s="79" t="str">
        <f t="shared" si="22"/>
        <v/>
      </c>
      <c r="F438" s="91">
        <f ca="1">COUNTIF($D437:INDIRECT("$D" &amp;  SUM(ROW()-1,'03.Muestra'!$D$45)-1),F437)</f>
        <v>0</v>
      </c>
      <c r="G438" s="91">
        <f ca="1">COUNTIF($D437:INDIRECT("$D" &amp;  SUM(ROW()-1,'03.Muestra'!$D$45)-1),G437)</f>
        <v>0</v>
      </c>
      <c r="H438" s="91">
        <f ca="1">COUNTIF($D437:INDIRECT("$D" &amp;  SUM(ROW()-1,'03.Muestra'!$D$45)-1),H437)</f>
        <v>20</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Normativa electoral</v>
      </c>
      <c r="C439" s="85" t="str" cm="1">
        <f t="array" ref="C439">IFERROR(INDEX('03.Muestra'!$F$8:$F$42,SMALL(IF("Página Web"='03.Muestra'!$D$8:$D$42,ROW('03.Muestra'!$F$8:$F$42)-MIN(ROW('03.Muestra'!$D$8:$D$42))+1,""),ROW()-436)),"")</f>
        <v>https://elecciones.comunidad.madrid/es/informacion-electoral/normativa-electoral</v>
      </c>
      <c r="D439" s="99" t="s">
        <v>184</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Calendario electoral</v>
      </c>
      <c r="C440" s="85" t="str" cm="1">
        <f t="array" ref="C440">IFERROR(INDEX('03.Muestra'!$F$8:$F$42,SMALL(IF("Página Web"='03.Muestra'!$D$8:$D$42,ROW('03.Muestra'!$F$8:$F$42)-MIN(ROW('03.Muestra'!$D$8:$D$42))+1,""),ROW()-436)),"")</f>
        <v>https://elecciones.comunidad.madrid/es/informacion-electoral/calendario-electoral</v>
      </c>
      <c r="D440" s="99" t="s">
        <v>184</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Direcciones y teléfonos</v>
      </c>
      <c r="C441" s="85" t="str" cm="1">
        <f t="array" ref="C441">IFERROR(INDEX('03.Muestra'!$F$8:$F$42,SMALL(IF("Página Web"='03.Muestra'!$D$8:$D$42,ROW('03.Muestra'!$F$8:$F$42)-MIN(ROW('03.Muestra'!$D$8:$D$42))+1,""),ROW()-436)),"")</f>
        <v>https://elecciones.comunidad.madrid/es/juntas-electorales/direcciones-telefonos</v>
      </c>
      <c r="D441" s="99" t="s">
        <v>184</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Impresos electrónicos</v>
      </c>
      <c r="C442" s="85" t="str" cm="1">
        <f t="array" ref="C442">IFERROR(INDEX('03.Muestra'!$F$8:$F$42,SMALL(IF("Página Web"='03.Muestra'!$D$8:$D$42,ROW('03.Muestra'!$F$8:$F$42)-MIN(ROW('03.Muestra'!$D$8:$D$42))+1,""),ROW()-436)),"")</f>
        <v>https://elecciones.comunidad.madrid/es/formaciones-politicas/impresos-electronicos</v>
      </c>
      <c r="D442" s="99" t="s">
        <v>184</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Listado de candidaturas</v>
      </c>
      <c r="C443" s="85" t="str" cm="1">
        <f t="array" ref="C443">IFERROR(INDEX('03.Muestra'!$F$8:$F$42,SMALL(IF("Página Web"='03.Muestra'!$D$8:$D$42,ROW('03.Muestra'!$F$8:$F$42)-MIN(ROW('03.Muestra'!$D$8:$D$42))+1,""),ROW()-436)),"")</f>
        <v>https://elecciones.comunidad.madrid/es/formaciones-politicas/listado-candidaturas-proclamadas</v>
      </c>
      <c r="D443" s="99" t="s">
        <v>184</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Partido Feminista de España</v>
      </c>
      <c r="C444" s="85" t="str" cm="1">
        <f t="array" ref="C444">IFERROR(INDEX('03.Muestra'!$F$8:$F$42,SMALL(IF("Página Web"='03.Muestra'!$D$8:$D$42,ROW('03.Muestra'!$F$8:$F$42)-MIN(ROW('03.Muestra'!$D$8:$D$42))+1,""),ROW()-436)),"")</f>
        <v>https://elecciones.comunidad.madrid/es/formaciones-politicas/listado-candidaturas/partido-feminista-espana</v>
      </c>
      <c r="D444" s="99" t="s">
        <v>184</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¿Dónde voto?</v>
      </c>
      <c r="C445" s="85" t="str" cm="1">
        <f t="array" ref="C445">IFERROR(INDEX('03.Muestra'!$F$8:$F$42,SMALL(IF("Página Web"='03.Muestra'!$D$8:$D$42,ROW('03.Muestra'!$F$8:$F$42)-MIN(ROW('03.Muestra'!$D$8:$D$42))+1,""),ROW()-436)),"")</f>
        <v>https://elecciones.comunidad.madrid/es/votar/donde-voto</v>
      </c>
      <c r="D445" s="99" t="s">
        <v>184</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Voto presencial</v>
      </c>
      <c r="C446" s="85" t="str" cm="1">
        <f t="array" ref="C446">IFERROR(INDEX('03.Muestra'!$F$8:$F$42,SMALL(IF("Página Web"='03.Muestra'!$D$8:$D$42,ROW('03.Muestra'!$F$8:$F$42)-MIN(ROW('03.Muestra'!$D$8:$D$42))+1,""),ROW()-436)),"")</f>
        <v>https://elecciones.comunidad.madrid/es/voto-local-electoral/voto-presencial</v>
      </c>
      <c r="D446" s="99" t="s">
        <v>184</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Ciudadanos temporalmente en el extranjero</v>
      </c>
      <c r="C447" s="85" t="str" cm="1">
        <f t="array" ref="C447">IFERROR(INDEX('03.Muestra'!$F$8:$F$42,SMALL(IF("Página Web"='03.Muestra'!$D$8:$D$42,ROW('03.Muestra'!$F$8:$F$42)-MIN(ROW('03.Muestra'!$D$8:$D$42))+1,""),ROW()-436)),"")</f>
        <v>https://elecciones.comunidad.madrid/es/voto-correo/solicitud-voto-temporalmente-ausentes</v>
      </c>
      <c r="D447" s="99" t="s">
        <v>184</v>
      </c>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Nuevo votante</v>
      </c>
      <c r="C448" s="85" t="str" cm="1">
        <f t="array" ref="C448">IFERROR(INDEX('03.Muestra'!$F$8:$F$42,SMALL(IF("Página Web"='03.Muestra'!$D$8:$D$42,ROW('03.Muestra'!$F$8:$F$42)-MIN(ROW('03.Muestra'!$D$8:$D$42))+1,""),ROW()-436)),"")</f>
        <v>https://elecciones.comunidad.madrid/es/votar/nuevo-votante</v>
      </c>
      <c r="D448" s="99" t="s">
        <v>184</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15"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Simulación método D'Hondt</v>
      </c>
      <c r="C449" s="85" t="str" cm="1">
        <f t="array" ref="C449">IFERROR(INDEX('03.Muestra'!$F$8:$F$42,SMALL(IF("Página Web"='03.Muestra'!$D$8:$D$42,ROW('03.Muestra'!$F$8:$F$42)-MIN(ROW('03.Muestra'!$D$8:$D$42))+1,""),ROW()-436)),"")</f>
        <v>https://elecciones.comunidad.madrid/es/informacion-util/simulacion-metodo-dhondt</v>
      </c>
      <c r="D449" s="99" t="s">
        <v>184</v>
      </c>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15"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Ley D'Hondt</v>
      </c>
      <c r="C450" s="85" t="str" cm="1">
        <f t="array" ref="C450">IFERROR(INDEX('03.Muestra'!$F$8:$F$42,SMALL(IF("Página Web"='03.Muestra'!$D$8:$D$42,ROW('03.Muestra'!$F$8:$F$42)-MIN(ROW('03.Muestra'!$D$8:$D$42))+1,""),ROW()-436)),"")</f>
        <v>https://elecciones.comunidad.madrid/es/resultados/ley_d_hondt</v>
      </c>
      <c r="D450" s="99" t="s">
        <v>184</v>
      </c>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15" customHeight="1">
      <c r="A451" s="39" cm="1">
        <f t="array" ref="A451">IFERROR(INDEX('03.Muestra'!$B$8:$B$42,SMALL(IF("Página Web"='03.Muestra'!$D$8:$D$42,ROW('03.Muestra'!$B$8:$B$42)-MIN(ROW('03.Muestra'!$D$8:$D$42))+1,""),ROW()-436)),"")</f>
        <v>15</v>
      </c>
      <c r="B451" s="85" t="str" cm="1">
        <f t="array" ref="B451">IFERROR(INDEX('03.Muestra'!$C$8:$C$42,SMALL(IF("Página Web"='03.Muestra'!$D$8:$D$42,ROW('03.Muestra'!$C$8:$C$42)-MIN(ROW('03.Muestra'!$D$8:$D$42))+1,""),ROW()-436)),"")</f>
        <v>Voto por correo elector CERA en España</v>
      </c>
      <c r="C451" s="85" t="str" cm="1">
        <f t="array" ref="C451">IFERROR(INDEX('03.Muestra'!$F$8:$F$42,SMALL(IF("Página Web"='03.Muestra'!$D$8:$D$42,ROW('03.Muestra'!$F$8:$F$42)-MIN(ROW('03.Muestra'!$D$8:$D$42))+1,""),ROW()-436)),"")</f>
        <v>https://elecciones.comunidad.madrid/es/preguntas-frecuentes/voto-correo-electores-residentes-extranjero</v>
      </c>
      <c r="D451" s="99" t="s">
        <v>184</v>
      </c>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15" customHeight="1">
      <c r="A452" s="39" cm="1">
        <f t="array" ref="A452">IFERROR(INDEX('03.Muestra'!$B$8:$B$42,SMALL(IF("Página Web"='03.Muestra'!$D$8:$D$42,ROW('03.Muestra'!$B$8:$B$42)-MIN(ROW('03.Muestra'!$D$8:$D$42))+1,""),ROW()-436)),"")</f>
        <v>16</v>
      </c>
      <c r="B452" s="85" t="str" cm="1">
        <f t="array" ref="B452">IFERROR(INDEX('03.Muestra'!$C$8:$C$42,SMALL(IF("Página Web"='03.Muestra'!$D$8:$D$42,ROW('03.Muestra'!$C$8:$C$42)-MIN(ROW('03.Muestra'!$D$8:$D$42))+1,""),ROW()-436)),"")</f>
        <v>Contacto</v>
      </c>
      <c r="C452" s="85" t="str" cm="1">
        <f t="array" ref="C452">IFERROR(INDEX('03.Muestra'!$F$8:$F$42,SMALL(IF("Página Web"='03.Muestra'!$D$8:$D$42,ROW('03.Muestra'!$F$8:$F$42)-MIN(ROW('03.Muestra'!$D$8:$D$42))+1,""),ROW()-436)),"")</f>
        <v>https://elecciones.comunidad.madrid/es/buzon-de-sugerencias</v>
      </c>
      <c r="D452" s="99" t="s">
        <v>184</v>
      </c>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15" customHeight="1">
      <c r="A453" s="39" cm="1">
        <f t="array" ref="A453">IFERROR(INDEX('03.Muestra'!$B$8:$B$42,SMALL(IF("Página Web"='03.Muestra'!$D$8:$D$42,ROW('03.Muestra'!$B$8:$B$42)-MIN(ROW('03.Muestra'!$D$8:$D$42))+1,""),ROW()-436)),"")</f>
        <v>17</v>
      </c>
      <c r="B453" s="85" t="str" cm="1">
        <f t="array" ref="B453">IFERROR(INDEX('03.Muestra'!$C$8:$C$42,SMALL(IF("Página Web"='03.Muestra'!$D$8:$D$42,ROW('03.Muestra'!$C$8:$C$42)-MIN(ROW('03.Muestra'!$D$8:$D$42))+1,""),ROW()-436)),"")</f>
        <v>Buscador</v>
      </c>
      <c r="C453" s="85" t="str" cm="1">
        <f t="array" ref="C453">IFERROR(INDEX('03.Muestra'!$F$8:$F$42,SMALL(IF("Página Web"='03.Muestra'!$D$8:$D$42,ROW('03.Muestra'!$F$8:$F$42)-MIN(ROW('03.Muestra'!$D$8:$D$42))+1,""),ROW()-436)),"")</f>
        <v>https://elecciones.comunidad.madrid/es/search?search_api_fulltext=partido</v>
      </c>
      <c r="D453" s="99" t="s">
        <v>184</v>
      </c>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15" customHeight="1">
      <c r="A454" s="39" cm="1">
        <f t="array" ref="A454">IFERROR(INDEX('03.Muestra'!$B$8:$B$42,SMALL(IF("Página Web"='03.Muestra'!$D$8:$D$42,ROW('03.Muestra'!$B$8:$B$42)-MIN(ROW('03.Muestra'!$D$8:$D$42))+1,""),ROW()-436)),"")</f>
        <v>18</v>
      </c>
      <c r="B454" s="85" t="str" cm="1">
        <f t="array" ref="B454">IFERROR(INDEX('03.Muestra'!$C$8:$C$42,SMALL(IF("Página Web"='03.Muestra'!$D$8:$D$42,ROW('03.Muestra'!$C$8:$C$42)-MIN(ROW('03.Muestra'!$D$8:$D$42))+1,""),ROW()-436)),"")</f>
        <v>Aviso Legal-Privacidad</v>
      </c>
      <c r="C454" s="85" t="str" cm="1">
        <f t="array" ref="C454">IFERROR(INDEX('03.Muestra'!$F$8:$F$42,SMALL(IF("Página Web"='03.Muestra'!$D$8:$D$42,ROW('03.Muestra'!$F$8:$F$42)-MIN(ROW('03.Muestra'!$D$8:$D$42))+1,""),ROW()-436)),"")</f>
        <v>https://elecciones.comunidad.madrid/es/aviso-legal</v>
      </c>
      <c r="D454" s="99" t="s">
        <v>184</v>
      </c>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15" customHeight="1">
      <c r="A455" s="39" cm="1">
        <f t="array" ref="A455">IFERROR(INDEX('03.Muestra'!$B$8:$B$42,SMALL(IF("Página Web"='03.Muestra'!$D$8:$D$42,ROW('03.Muestra'!$B$8:$B$42)-MIN(ROW('03.Muestra'!$D$8:$D$42))+1,""),ROW()-436)),"")</f>
        <v>19</v>
      </c>
      <c r="B455" s="85" t="str" cm="1">
        <f t="array" ref="B455">IFERROR(INDEX('03.Muestra'!$C$8:$C$42,SMALL(IF("Página Web"='03.Muestra'!$D$8:$D$42,ROW('03.Muestra'!$C$8:$C$42)-MIN(ROW('03.Muestra'!$D$8:$D$42))+1,""),ROW()-436)),"")</f>
        <v>Mapa Web</v>
      </c>
      <c r="C455" s="85" t="str" cm="1">
        <f t="array" ref="C455">IFERROR(INDEX('03.Muestra'!$F$8:$F$42,SMALL(IF("Página Web"='03.Muestra'!$D$8:$D$42,ROW('03.Muestra'!$F$8:$F$42)-MIN(ROW('03.Muestra'!$D$8:$D$42))+1,""),ROW()-436)),"")</f>
        <v>https://elecciones.comunidad.madrid/es/sitemap</v>
      </c>
      <c r="D455" s="99" t="s">
        <v>184</v>
      </c>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15" customHeight="1">
      <c r="A456" s="39" cm="1">
        <f t="array" ref="A456">IFERROR(INDEX('03.Muestra'!$B$8:$B$42,SMALL(IF("Página Web"='03.Muestra'!$D$8:$D$42,ROW('03.Muestra'!$B$8:$B$42)-MIN(ROW('03.Muestra'!$D$8:$D$42))+1,""),ROW()-436)),"")</f>
        <v>20</v>
      </c>
      <c r="B456" s="85" t="str" cm="1">
        <f t="array" ref="B456">IFERROR(INDEX('03.Muestra'!$C$8:$C$42,SMALL(IF("Página Web"='03.Muestra'!$D$8:$D$42,ROW('03.Muestra'!$C$8:$C$42)-MIN(ROW('03.Muestra'!$D$8:$D$42))+1,""),ROW()-436)),"")</f>
        <v>Declaracion Accesibilidad</v>
      </c>
      <c r="C456" s="85" t="str" cm="1">
        <f t="array" ref="C456">IFERROR(INDEX('03.Muestra'!$F$8:$F$42,SMALL(IF("Página Web"='03.Muestra'!$D$8:$D$42,ROW('03.Muestra'!$F$8:$F$42)-MIN(ROW('03.Muestra'!$D$8:$D$42))+1,""),ROW()-436)),"")</f>
        <v>https://elecciones.comunidad.madrid/es/accesibilidad</v>
      </c>
      <c r="D456" s="99" t="s">
        <v>184</v>
      </c>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15"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ref="D457:D471" si="23">IF(AND(B457&lt;&gt;"",C457&lt;&gt;""),"N/T","")</f>
        <v/>
      </c>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15"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15"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181</v>
      </c>
      <c r="B474" s="23" t="s">
        <v>173</v>
      </c>
      <c r="C474" s="24" t="s">
        <v>206</v>
      </c>
      <c r="D474" s="25" t="s">
        <v>183</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https://elecciones.comunidad.madrid/es</v>
      </c>
      <c r="D475" s="99" t="s">
        <v>184</v>
      </c>
      <c r="E475" s="79" t="str">
        <f t="shared" ref="E475:E509" si="24">IF(D475&lt;&gt;"",IF(AND(B475&lt;&gt;"",C475&lt;&gt;""),"","ERR"),"")</f>
        <v/>
      </c>
      <c r="F475" s="86" t="s">
        <v>185</v>
      </c>
      <c r="G475" s="87" t="s">
        <v>186</v>
      </c>
      <c r="H475" s="88" t="s">
        <v>184</v>
      </c>
      <c r="I475" s="89" t="s">
        <v>176</v>
      </c>
      <c r="J475" s="90" t="s">
        <v>174</v>
      </c>
      <c r="K475" s="181" t="s">
        <v>180</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Resultado Elecciones 28M 2023</v>
      </c>
      <c r="C476" s="85" t="str" cm="1">
        <f t="array" ref="C476">IFERROR(INDEX('03.Muestra'!$F$8:$F$42,SMALL(IF("Página Web"='03.Muestra'!$D$8:$D$42,ROW('03.Muestra'!$F$8:$F$42)-MIN(ROW('03.Muestra'!$D$8:$D$42))+1,""),ROW()-474)),"")</f>
        <v>https://elecciones.comunidad.madrid/es/resultados-elecciones-asamblea-madrid-28m-2023</v>
      </c>
      <c r="D476" s="99" t="s">
        <v>184</v>
      </c>
      <c r="E476" s="79" t="str">
        <f t="shared" si="24"/>
        <v/>
      </c>
      <c r="F476" s="91">
        <f ca="1">COUNTIF($D475:INDIRECT("$D" &amp;  SUM(ROW()-1,'03.Muestra'!$D$45)-1),F475)</f>
        <v>0</v>
      </c>
      <c r="G476" s="91">
        <f ca="1">COUNTIF($D475:INDIRECT("$D" &amp;  SUM(ROW()-1,'03.Muestra'!$D$45)-1),G475)</f>
        <v>0</v>
      </c>
      <c r="H476" s="91">
        <f ca="1">COUNTIF($D475:INDIRECT("$D" &amp;  SUM(ROW()-1,'03.Muestra'!$D$45)-1),H475)</f>
        <v>20</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Normativa electoral</v>
      </c>
      <c r="C477" s="85" t="str" cm="1">
        <f t="array" ref="C477">IFERROR(INDEX('03.Muestra'!$F$8:$F$42,SMALL(IF("Página Web"='03.Muestra'!$D$8:$D$42,ROW('03.Muestra'!$F$8:$F$42)-MIN(ROW('03.Muestra'!$D$8:$D$42))+1,""),ROW()-474)),"")</f>
        <v>https://elecciones.comunidad.madrid/es/informacion-electoral/normativa-electoral</v>
      </c>
      <c r="D477" s="99" t="s">
        <v>184</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Calendario electoral</v>
      </c>
      <c r="C478" s="85" t="str" cm="1">
        <f t="array" ref="C478">IFERROR(INDEX('03.Muestra'!$F$8:$F$42,SMALL(IF("Página Web"='03.Muestra'!$D$8:$D$42,ROW('03.Muestra'!$F$8:$F$42)-MIN(ROW('03.Muestra'!$D$8:$D$42))+1,""),ROW()-474)),"")</f>
        <v>https://elecciones.comunidad.madrid/es/informacion-electoral/calendario-electoral</v>
      </c>
      <c r="D478" s="99" t="s">
        <v>184</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Direcciones y teléfonos</v>
      </c>
      <c r="C479" s="85" t="str" cm="1">
        <f t="array" ref="C479">IFERROR(INDEX('03.Muestra'!$F$8:$F$42,SMALL(IF("Página Web"='03.Muestra'!$D$8:$D$42,ROW('03.Muestra'!$F$8:$F$42)-MIN(ROW('03.Muestra'!$D$8:$D$42))+1,""),ROW()-474)),"")</f>
        <v>https://elecciones.comunidad.madrid/es/juntas-electorales/direcciones-telefonos</v>
      </c>
      <c r="D479" s="99" t="s">
        <v>184</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Impresos electrónicos</v>
      </c>
      <c r="C480" s="85" t="str" cm="1">
        <f t="array" ref="C480">IFERROR(INDEX('03.Muestra'!$F$8:$F$42,SMALL(IF("Página Web"='03.Muestra'!$D$8:$D$42,ROW('03.Muestra'!$F$8:$F$42)-MIN(ROW('03.Muestra'!$D$8:$D$42))+1,""),ROW()-474)),"")</f>
        <v>https://elecciones.comunidad.madrid/es/formaciones-politicas/impresos-electronicos</v>
      </c>
      <c r="D480" s="99" t="s">
        <v>184</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Listado de candidaturas</v>
      </c>
      <c r="C481" s="85" t="str" cm="1">
        <f t="array" ref="C481">IFERROR(INDEX('03.Muestra'!$F$8:$F$42,SMALL(IF("Página Web"='03.Muestra'!$D$8:$D$42,ROW('03.Muestra'!$F$8:$F$42)-MIN(ROW('03.Muestra'!$D$8:$D$42))+1,""),ROW()-474)),"")</f>
        <v>https://elecciones.comunidad.madrid/es/formaciones-politicas/listado-candidaturas-proclamadas</v>
      </c>
      <c r="D481" s="99" t="s">
        <v>184</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Partido Feminista de España</v>
      </c>
      <c r="C482" s="85" t="str" cm="1">
        <f t="array" ref="C482">IFERROR(INDEX('03.Muestra'!$F$8:$F$42,SMALL(IF("Página Web"='03.Muestra'!$D$8:$D$42,ROW('03.Muestra'!$F$8:$F$42)-MIN(ROW('03.Muestra'!$D$8:$D$42))+1,""),ROW()-474)),"")</f>
        <v>https://elecciones.comunidad.madrid/es/formaciones-politicas/listado-candidaturas/partido-feminista-espana</v>
      </c>
      <c r="D482" s="99" t="s">
        <v>184</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¿Dónde voto?</v>
      </c>
      <c r="C483" s="85" t="str" cm="1">
        <f t="array" ref="C483">IFERROR(INDEX('03.Muestra'!$F$8:$F$42,SMALL(IF("Página Web"='03.Muestra'!$D$8:$D$42,ROW('03.Muestra'!$F$8:$F$42)-MIN(ROW('03.Muestra'!$D$8:$D$42))+1,""),ROW()-474)),"")</f>
        <v>https://elecciones.comunidad.madrid/es/votar/donde-voto</v>
      </c>
      <c r="D483" s="99" t="s">
        <v>184</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Voto presencial</v>
      </c>
      <c r="C484" s="85" t="str" cm="1">
        <f t="array" ref="C484">IFERROR(INDEX('03.Muestra'!$F$8:$F$42,SMALL(IF("Página Web"='03.Muestra'!$D$8:$D$42,ROW('03.Muestra'!$F$8:$F$42)-MIN(ROW('03.Muestra'!$D$8:$D$42))+1,""),ROW()-474)),"")</f>
        <v>https://elecciones.comunidad.madrid/es/voto-local-electoral/voto-presencial</v>
      </c>
      <c r="D484" s="99" t="s">
        <v>184</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Ciudadanos temporalmente en el extranjero</v>
      </c>
      <c r="C485" s="85" t="str" cm="1">
        <f t="array" ref="C485">IFERROR(INDEX('03.Muestra'!$F$8:$F$42,SMALL(IF("Página Web"='03.Muestra'!$D$8:$D$42,ROW('03.Muestra'!$F$8:$F$42)-MIN(ROW('03.Muestra'!$D$8:$D$42))+1,""),ROW()-474)),"")</f>
        <v>https://elecciones.comunidad.madrid/es/voto-correo/solicitud-voto-temporalmente-ausentes</v>
      </c>
      <c r="D485" s="99" t="s">
        <v>184</v>
      </c>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Nuevo votante</v>
      </c>
      <c r="C486" s="85" t="str" cm="1">
        <f t="array" ref="C486">IFERROR(INDEX('03.Muestra'!$F$8:$F$42,SMALL(IF("Página Web"='03.Muestra'!$D$8:$D$42,ROW('03.Muestra'!$F$8:$F$42)-MIN(ROW('03.Muestra'!$D$8:$D$42))+1,""),ROW()-474)),"")</f>
        <v>https://elecciones.comunidad.madrid/es/votar/nuevo-votante</v>
      </c>
      <c r="D486" s="99" t="s">
        <v>184</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15"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Simulación método D'Hondt</v>
      </c>
      <c r="C487" s="85" t="str" cm="1">
        <f t="array" ref="C487">IFERROR(INDEX('03.Muestra'!$F$8:$F$42,SMALL(IF("Página Web"='03.Muestra'!$D$8:$D$42,ROW('03.Muestra'!$F$8:$F$42)-MIN(ROW('03.Muestra'!$D$8:$D$42))+1,""),ROW()-474)),"")</f>
        <v>https://elecciones.comunidad.madrid/es/informacion-util/simulacion-metodo-dhondt</v>
      </c>
      <c r="D487" s="99" t="s">
        <v>184</v>
      </c>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15"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Ley D'Hondt</v>
      </c>
      <c r="C488" s="85" t="str" cm="1">
        <f t="array" ref="C488">IFERROR(INDEX('03.Muestra'!$F$8:$F$42,SMALL(IF("Página Web"='03.Muestra'!$D$8:$D$42,ROW('03.Muestra'!$F$8:$F$42)-MIN(ROW('03.Muestra'!$D$8:$D$42))+1,""),ROW()-474)),"")</f>
        <v>https://elecciones.comunidad.madrid/es/resultados/ley_d_hondt</v>
      </c>
      <c r="D488" s="99" t="s">
        <v>184</v>
      </c>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15" customHeight="1">
      <c r="A489" s="39" cm="1">
        <f t="array" ref="A489">IFERROR(INDEX('03.Muestra'!$B$8:$B$42,SMALL(IF("Página Web"='03.Muestra'!$D$8:$D$42,ROW('03.Muestra'!$B$8:$B$42)-MIN(ROW('03.Muestra'!$D$8:$D$42))+1,""),ROW()-474)),"")</f>
        <v>15</v>
      </c>
      <c r="B489" s="85" t="str" cm="1">
        <f t="array" ref="B489">IFERROR(INDEX('03.Muestra'!$C$8:$C$42,SMALL(IF("Página Web"='03.Muestra'!$D$8:$D$42,ROW('03.Muestra'!$C$8:$C$42)-MIN(ROW('03.Muestra'!$D$8:$D$42))+1,""),ROW()-474)),"")</f>
        <v>Voto por correo elector CERA en España</v>
      </c>
      <c r="C489" s="85" t="str" cm="1">
        <f t="array" ref="C489">IFERROR(INDEX('03.Muestra'!$F$8:$F$42,SMALL(IF("Página Web"='03.Muestra'!$D$8:$D$42,ROW('03.Muestra'!$F$8:$F$42)-MIN(ROW('03.Muestra'!$D$8:$D$42))+1,""),ROW()-474)),"")</f>
        <v>https://elecciones.comunidad.madrid/es/preguntas-frecuentes/voto-correo-electores-residentes-extranjero</v>
      </c>
      <c r="D489" s="99" t="s">
        <v>184</v>
      </c>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15" customHeight="1">
      <c r="A490" s="39" cm="1">
        <f t="array" ref="A490">IFERROR(INDEX('03.Muestra'!$B$8:$B$42,SMALL(IF("Página Web"='03.Muestra'!$D$8:$D$42,ROW('03.Muestra'!$B$8:$B$42)-MIN(ROW('03.Muestra'!$D$8:$D$42))+1,""),ROW()-474)),"")</f>
        <v>16</v>
      </c>
      <c r="B490" s="85" t="str" cm="1">
        <f t="array" ref="B490">IFERROR(INDEX('03.Muestra'!$C$8:$C$42,SMALL(IF("Página Web"='03.Muestra'!$D$8:$D$42,ROW('03.Muestra'!$C$8:$C$42)-MIN(ROW('03.Muestra'!$D$8:$D$42))+1,""),ROW()-474)),"")</f>
        <v>Contacto</v>
      </c>
      <c r="C490" s="85" t="str" cm="1">
        <f t="array" ref="C490">IFERROR(INDEX('03.Muestra'!$F$8:$F$42,SMALL(IF("Página Web"='03.Muestra'!$D$8:$D$42,ROW('03.Muestra'!$F$8:$F$42)-MIN(ROW('03.Muestra'!$D$8:$D$42))+1,""),ROW()-474)),"")</f>
        <v>https://elecciones.comunidad.madrid/es/buzon-de-sugerencias</v>
      </c>
      <c r="D490" s="99" t="s">
        <v>184</v>
      </c>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15" customHeight="1">
      <c r="A491" s="39" cm="1">
        <f t="array" ref="A491">IFERROR(INDEX('03.Muestra'!$B$8:$B$42,SMALL(IF("Página Web"='03.Muestra'!$D$8:$D$42,ROW('03.Muestra'!$B$8:$B$42)-MIN(ROW('03.Muestra'!$D$8:$D$42))+1,""),ROW()-474)),"")</f>
        <v>17</v>
      </c>
      <c r="B491" s="85" t="str" cm="1">
        <f t="array" ref="B491">IFERROR(INDEX('03.Muestra'!$C$8:$C$42,SMALL(IF("Página Web"='03.Muestra'!$D$8:$D$42,ROW('03.Muestra'!$C$8:$C$42)-MIN(ROW('03.Muestra'!$D$8:$D$42))+1,""),ROW()-474)),"")</f>
        <v>Buscador</v>
      </c>
      <c r="C491" s="85" t="str" cm="1">
        <f t="array" ref="C491">IFERROR(INDEX('03.Muestra'!$F$8:$F$42,SMALL(IF("Página Web"='03.Muestra'!$D$8:$D$42,ROW('03.Muestra'!$F$8:$F$42)-MIN(ROW('03.Muestra'!$D$8:$D$42))+1,""),ROW()-474)),"")</f>
        <v>https://elecciones.comunidad.madrid/es/search?search_api_fulltext=partido</v>
      </c>
      <c r="D491" s="99" t="s">
        <v>184</v>
      </c>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15" customHeight="1">
      <c r="A492" s="39" cm="1">
        <f t="array" ref="A492">IFERROR(INDEX('03.Muestra'!$B$8:$B$42,SMALL(IF("Página Web"='03.Muestra'!$D$8:$D$42,ROW('03.Muestra'!$B$8:$B$42)-MIN(ROW('03.Muestra'!$D$8:$D$42))+1,""),ROW()-474)),"")</f>
        <v>18</v>
      </c>
      <c r="B492" s="85" t="str" cm="1">
        <f t="array" ref="B492">IFERROR(INDEX('03.Muestra'!$C$8:$C$42,SMALL(IF("Página Web"='03.Muestra'!$D$8:$D$42,ROW('03.Muestra'!$C$8:$C$42)-MIN(ROW('03.Muestra'!$D$8:$D$42))+1,""),ROW()-474)),"")</f>
        <v>Aviso Legal-Privacidad</v>
      </c>
      <c r="C492" s="85" t="str" cm="1">
        <f t="array" ref="C492">IFERROR(INDEX('03.Muestra'!$F$8:$F$42,SMALL(IF("Página Web"='03.Muestra'!$D$8:$D$42,ROW('03.Muestra'!$F$8:$F$42)-MIN(ROW('03.Muestra'!$D$8:$D$42))+1,""),ROW()-474)),"")</f>
        <v>https://elecciones.comunidad.madrid/es/aviso-legal</v>
      </c>
      <c r="D492" s="99" t="s">
        <v>184</v>
      </c>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15" customHeight="1">
      <c r="A493" s="39" cm="1">
        <f t="array" ref="A493">IFERROR(INDEX('03.Muestra'!$B$8:$B$42,SMALL(IF("Página Web"='03.Muestra'!$D$8:$D$42,ROW('03.Muestra'!$B$8:$B$42)-MIN(ROW('03.Muestra'!$D$8:$D$42))+1,""),ROW()-474)),"")</f>
        <v>19</v>
      </c>
      <c r="B493" s="85" t="str" cm="1">
        <f t="array" ref="B493">IFERROR(INDEX('03.Muestra'!$C$8:$C$42,SMALL(IF("Página Web"='03.Muestra'!$D$8:$D$42,ROW('03.Muestra'!$C$8:$C$42)-MIN(ROW('03.Muestra'!$D$8:$D$42))+1,""),ROW()-474)),"")</f>
        <v>Mapa Web</v>
      </c>
      <c r="C493" s="85" t="str" cm="1">
        <f t="array" ref="C493">IFERROR(INDEX('03.Muestra'!$F$8:$F$42,SMALL(IF("Página Web"='03.Muestra'!$D$8:$D$42,ROW('03.Muestra'!$F$8:$F$42)-MIN(ROW('03.Muestra'!$D$8:$D$42))+1,""),ROW()-474)),"")</f>
        <v>https://elecciones.comunidad.madrid/es/sitemap</v>
      </c>
      <c r="D493" s="99" t="s">
        <v>184</v>
      </c>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15" customHeight="1">
      <c r="A494" s="39" cm="1">
        <f t="array" ref="A494">IFERROR(INDEX('03.Muestra'!$B$8:$B$42,SMALL(IF("Página Web"='03.Muestra'!$D$8:$D$42,ROW('03.Muestra'!$B$8:$B$42)-MIN(ROW('03.Muestra'!$D$8:$D$42))+1,""),ROW()-474)),"")</f>
        <v>20</v>
      </c>
      <c r="B494" s="85" t="str" cm="1">
        <f t="array" ref="B494">IFERROR(INDEX('03.Muestra'!$C$8:$C$42,SMALL(IF("Página Web"='03.Muestra'!$D$8:$D$42,ROW('03.Muestra'!$C$8:$C$42)-MIN(ROW('03.Muestra'!$D$8:$D$42))+1,""),ROW()-474)),"")</f>
        <v>Declaracion Accesibilidad</v>
      </c>
      <c r="C494" s="85" t="str" cm="1">
        <f t="array" ref="C494">IFERROR(INDEX('03.Muestra'!$F$8:$F$42,SMALL(IF("Página Web"='03.Muestra'!$D$8:$D$42,ROW('03.Muestra'!$F$8:$F$42)-MIN(ROW('03.Muestra'!$D$8:$D$42))+1,""),ROW()-474)),"")</f>
        <v>https://elecciones.comunidad.madrid/es/accesibilidad</v>
      </c>
      <c r="D494" s="99" t="s">
        <v>184</v>
      </c>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15"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ref="D495:D509" si="25">IF(AND(B495&lt;&gt;"",C495&lt;&gt;""),"N/T","")</f>
        <v/>
      </c>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15"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15"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181</v>
      </c>
      <c r="B512" s="23" t="s">
        <v>173</v>
      </c>
      <c r="C512" s="24" t="s">
        <v>207</v>
      </c>
      <c r="D512" s="25" t="s">
        <v>183</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https://elecciones.comunidad.madrid/es</v>
      </c>
      <c r="D513" s="99" t="s">
        <v>184</v>
      </c>
      <c r="E513" s="79" t="str">
        <f t="shared" ref="E513:E547" si="26">IF(D513&lt;&gt;"",IF(AND(B513&lt;&gt;"",C513&lt;&gt;""),"","ERR"),"")</f>
        <v/>
      </c>
      <c r="F513" s="86" t="s">
        <v>185</v>
      </c>
      <c r="G513" s="87" t="s">
        <v>186</v>
      </c>
      <c r="H513" s="88" t="s">
        <v>184</v>
      </c>
      <c r="I513" s="89" t="s">
        <v>176</v>
      </c>
      <c r="J513" s="90" t="s">
        <v>174</v>
      </c>
      <c r="K513" s="181" t="s">
        <v>180</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Resultado Elecciones 28M 2023</v>
      </c>
      <c r="C514" s="85" t="str" cm="1">
        <f t="array" ref="C514">IFERROR(INDEX('03.Muestra'!$F$8:$F$42,SMALL(IF("Página Web"='03.Muestra'!$D$8:$D$42,ROW('03.Muestra'!$F$8:$F$42)-MIN(ROW('03.Muestra'!$D$8:$D$42))+1,""),ROW()-512)),"")</f>
        <v>https://elecciones.comunidad.madrid/es/resultados-elecciones-asamblea-madrid-28m-2023</v>
      </c>
      <c r="D514" s="99" t="s">
        <v>184</v>
      </c>
      <c r="E514" s="79" t="str">
        <f t="shared" si="26"/>
        <v/>
      </c>
      <c r="F514" s="91">
        <f ca="1">COUNTIF($D513:INDIRECT("$D" &amp;  SUM(ROW()-1,'03.Muestra'!$D$45)-1),F513)</f>
        <v>0</v>
      </c>
      <c r="G514" s="91">
        <f ca="1">COUNTIF($D513:INDIRECT("$D" &amp;  SUM(ROW()-1,'03.Muestra'!$D$45)-1),G513)</f>
        <v>0</v>
      </c>
      <c r="H514" s="91">
        <f ca="1">COUNTIF($D513:INDIRECT("$D" &amp;  SUM(ROW()-1,'03.Muestra'!$D$45)-1),H513)</f>
        <v>20</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Normativa electoral</v>
      </c>
      <c r="C515" s="85" t="str" cm="1">
        <f t="array" ref="C515">IFERROR(INDEX('03.Muestra'!$F$8:$F$42,SMALL(IF("Página Web"='03.Muestra'!$D$8:$D$42,ROW('03.Muestra'!$F$8:$F$42)-MIN(ROW('03.Muestra'!$D$8:$D$42))+1,""),ROW()-512)),"")</f>
        <v>https://elecciones.comunidad.madrid/es/informacion-electoral/normativa-electoral</v>
      </c>
      <c r="D515" s="99" t="s">
        <v>184</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Calendario electoral</v>
      </c>
      <c r="C516" s="85" t="str" cm="1">
        <f t="array" ref="C516">IFERROR(INDEX('03.Muestra'!$F$8:$F$42,SMALL(IF("Página Web"='03.Muestra'!$D$8:$D$42,ROW('03.Muestra'!$F$8:$F$42)-MIN(ROW('03.Muestra'!$D$8:$D$42))+1,""),ROW()-512)),"")</f>
        <v>https://elecciones.comunidad.madrid/es/informacion-electoral/calendario-electoral</v>
      </c>
      <c r="D516" s="99" t="s">
        <v>184</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Direcciones y teléfonos</v>
      </c>
      <c r="C517" s="85" t="str" cm="1">
        <f t="array" ref="C517">IFERROR(INDEX('03.Muestra'!$F$8:$F$42,SMALL(IF("Página Web"='03.Muestra'!$D$8:$D$42,ROW('03.Muestra'!$F$8:$F$42)-MIN(ROW('03.Muestra'!$D$8:$D$42))+1,""),ROW()-512)),"")</f>
        <v>https://elecciones.comunidad.madrid/es/juntas-electorales/direcciones-telefonos</v>
      </c>
      <c r="D517" s="99" t="s">
        <v>184</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Impresos electrónicos</v>
      </c>
      <c r="C518" s="85" t="str" cm="1">
        <f t="array" ref="C518">IFERROR(INDEX('03.Muestra'!$F$8:$F$42,SMALL(IF("Página Web"='03.Muestra'!$D$8:$D$42,ROW('03.Muestra'!$F$8:$F$42)-MIN(ROW('03.Muestra'!$D$8:$D$42))+1,""),ROW()-512)),"")</f>
        <v>https://elecciones.comunidad.madrid/es/formaciones-politicas/impresos-electronicos</v>
      </c>
      <c r="D518" s="99" t="s">
        <v>184</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Listado de candidaturas</v>
      </c>
      <c r="C519" s="85" t="str" cm="1">
        <f t="array" ref="C519">IFERROR(INDEX('03.Muestra'!$F$8:$F$42,SMALL(IF("Página Web"='03.Muestra'!$D$8:$D$42,ROW('03.Muestra'!$F$8:$F$42)-MIN(ROW('03.Muestra'!$D$8:$D$42))+1,""),ROW()-512)),"")</f>
        <v>https://elecciones.comunidad.madrid/es/formaciones-politicas/listado-candidaturas-proclamadas</v>
      </c>
      <c r="D519" s="99" t="s">
        <v>184</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Partido Feminista de España</v>
      </c>
      <c r="C520" s="85" t="str" cm="1">
        <f t="array" ref="C520">IFERROR(INDEX('03.Muestra'!$F$8:$F$42,SMALL(IF("Página Web"='03.Muestra'!$D$8:$D$42,ROW('03.Muestra'!$F$8:$F$42)-MIN(ROW('03.Muestra'!$D$8:$D$42))+1,""),ROW()-512)),"")</f>
        <v>https://elecciones.comunidad.madrid/es/formaciones-politicas/listado-candidaturas/partido-feminista-espana</v>
      </c>
      <c r="D520" s="99" t="s">
        <v>184</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¿Dónde voto?</v>
      </c>
      <c r="C521" s="85" t="str" cm="1">
        <f t="array" ref="C521">IFERROR(INDEX('03.Muestra'!$F$8:$F$42,SMALL(IF("Página Web"='03.Muestra'!$D$8:$D$42,ROW('03.Muestra'!$F$8:$F$42)-MIN(ROW('03.Muestra'!$D$8:$D$42))+1,""),ROW()-512)),"")</f>
        <v>https://elecciones.comunidad.madrid/es/votar/donde-voto</v>
      </c>
      <c r="D521" s="99" t="s">
        <v>184</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Voto presencial</v>
      </c>
      <c r="C522" s="85" t="str" cm="1">
        <f t="array" ref="C522">IFERROR(INDEX('03.Muestra'!$F$8:$F$42,SMALL(IF("Página Web"='03.Muestra'!$D$8:$D$42,ROW('03.Muestra'!$F$8:$F$42)-MIN(ROW('03.Muestra'!$D$8:$D$42))+1,""),ROW()-512)),"")</f>
        <v>https://elecciones.comunidad.madrid/es/voto-local-electoral/voto-presencial</v>
      </c>
      <c r="D522" s="99" t="s">
        <v>184</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Ciudadanos temporalmente en el extranjero</v>
      </c>
      <c r="C523" s="85" t="str" cm="1">
        <f t="array" ref="C523">IFERROR(INDEX('03.Muestra'!$F$8:$F$42,SMALL(IF("Página Web"='03.Muestra'!$D$8:$D$42,ROW('03.Muestra'!$F$8:$F$42)-MIN(ROW('03.Muestra'!$D$8:$D$42))+1,""),ROW()-512)),"")</f>
        <v>https://elecciones.comunidad.madrid/es/voto-correo/solicitud-voto-temporalmente-ausentes</v>
      </c>
      <c r="D523" s="99" t="s">
        <v>184</v>
      </c>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Nuevo votante</v>
      </c>
      <c r="C524" s="85" t="str" cm="1">
        <f t="array" ref="C524">IFERROR(INDEX('03.Muestra'!$F$8:$F$42,SMALL(IF("Página Web"='03.Muestra'!$D$8:$D$42,ROW('03.Muestra'!$F$8:$F$42)-MIN(ROW('03.Muestra'!$D$8:$D$42))+1,""),ROW()-512)),"")</f>
        <v>https://elecciones.comunidad.madrid/es/votar/nuevo-votante</v>
      </c>
      <c r="D524" s="99" t="s">
        <v>184</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15"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Simulación método D'Hondt</v>
      </c>
      <c r="C525" s="85" t="str" cm="1">
        <f t="array" ref="C525">IFERROR(INDEX('03.Muestra'!$F$8:$F$42,SMALL(IF("Página Web"='03.Muestra'!$D$8:$D$42,ROW('03.Muestra'!$F$8:$F$42)-MIN(ROW('03.Muestra'!$D$8:$D$42))+1,""),ROW()-512)),"")</f>
        <v>https://elecciones.comunidad.madrid/es/informacion-util/simulacion-metodo-dhondt</v>
      </c>
      <c r="D525" s="99" t="s">
        <v>184</v>
      </c>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15"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Ley D'Hondt</v>
      </c>
      <c r="C526" s="85" t="str" cm="1">
        <f t="array" ref="C526">IFERROR(INDEX('03.Muestra'!$F$8:$F$42,SMALL(IF("Página Web"='03.Muestra'!$D$8:$D$42,ROW('03.Muestra'!$F$8:$F$42)-MIN(ROW('03.Muestra'!$D$8:$D$42))+1,""),ROW()-512)),"")</f>
        <v>https://elecciones.comunidad.madrid/es/resultados/ley_d_hondt</v>
      </c>
      <c r="D526" s="99" t="s">
        <v>184</v>
      </c>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15" customHeight="1">
      <c r="A527" s="39" cm="1">
        <f t="array" ref="A527">IFERROR(INDEX('03.Muestra'!$B$8:$B$42,SMALL(IF("Página Web"='03.Muestra'!$D$8:$D$42,ROW('03.Muestra'!$B$8:$B$42)-MIN(ROW('03.Muestra'!$D$8:$D$42))+1,""),ROW()-512)),"")</f>
        <v>15</v>
      </c>
      <c r="B527" s="85" t="str" cm="1">
        <f t="array" ref="B527">IFERROR(INDEX('03.Muestra'!$C$8:$C$42,SMALL(IF("Página Web"='03.Muestra'!$D$8:$D$42,ROW('03.Muestra'!$C$8:$C$42)-MIN(ROW('03.Muestra'!$D$8:$D$42))+1,""),ROW()-512)),"")</f>
        <v>Voto por correo elector CERA en España</v>
      </c>
      <c r="C527" s="85" t="str" cm="1">
        <f t="array" ref="C527">IFERROR(INDEX('03.Muestra'!$F$8:$F$42,SMALL(IF("Página Web"='03.Muestra'!$D$8:$D$42,ROW('03.Muestra'!$F$8:$F$42)-MIN(ROW('03.Muestra'!$D$8:$D$42))+1,""),ROW()-512)),"")</f>
        <v>https://elecciones.comunidad.madrid/es/preguntas-frecuentes/voto-correo-electores-residentes-extranjero</v>
      </c>
      <c r="D527" s="99" t="s">
        <v>184</v>
      </c>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15" customHeight="1">
      <c r="A528" s="39" cm="1">
        <f t="array" ref="A528">IFERROR(INDEX('03.Muestra'!$B$8:$B$42,SMALL(IF("Página Web"='03.Muestra'!$D$8:$D$42,ROW('03.Muestra'!$B$8:$B$42)-MIN(ROW('03.Muestra'!$D$8:$D$42))+1,""),ROW()-512)),"")</f>
        <v>16</v>
      </c>
      <c r="B528" s="85" t="str" cm="1">
        <f t="array" ref="B528">IFERROR(INDEX('03.Muestra'!$C$8:$C$42,SMALL(IF("Página Web"='03.Muestra'!$D$8:$D$42,ROW('03.Muestra'!$C$8:$C$42)-MIN(ROW('03.Muestra'!$D$8:$D$42))+1,""),ROW()-512)),"")</f>
        <v>Contacto</v>
      </c>
      <c r="C528" s="85" t="str" cm="1">
        <f t="array" ref="C528">IFERROR(INDEX('03.Muestra'!$F$8:$F$42,SMALL(IF("Página Web"='03.Muestra'!$D$8:$D$42,ROW('03.Muestra'!$F$8:$F$42)-MIN(ROW('03.Muestra'!$D$8:$D$42))+1,""),ROW()-512)),"")</f>
        <v>https://elecciones.comunidad.madrid/es/buzon-de-sugerencias</v>
      </c>
      <c r="D528" s="99" t="s">
        <v>184</v>
      </c>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15" customHeight="1">
      <c r="A529" s="39" cm="1">
        <f t="array" ref="A529">IFERROR(INDEX('03.Muestra'!$B$8:$B$42,SMALL(IF("Página Web"='03.Muestra'!$D$8:$D$42,ROW('03.Muestra'!$B$8:$B$42)-MIN(ROW('03.Muestra'!$D$8:$D$42))+1,""),ROW()-512)),"")</f>
        <v>17</v>
      </c>
      <c r="B529" s="85" t="str" cm="1">
        <f t="array" ref="B529">IFERROR(INDEX('03.Muestra'!$C$8:$C$42,SMALL(IF("Página Web"='03.Muestra'!$D$8:$D$42,ROW('03.Muestra'!$C$8:$C$42)-MIN(ROW('03.Muestra'!$D$8:$D$42))+1,""),ROW()-512)),"")</f>
        <v>Buscador</v>
      </c>
      <c r="C529" s="85" t="str" cm="1">
        <f t="array" ref="C529">IFERROR(INDEX('03.Muestra'!$F$8:$F$42,SMALL(IF("Página Web"='03.Muestra'!$D$8:$D$42,ROW('03.Muestra'!$F$8:$F$42)-MIN(ROW('03.Muestra'!$D$8:$D$42))+1,""),ROW()-512)),"")</f>
        <v>https://elecciones.comunidad.madrid/es/search?search_api_fulltext=partido</v>
      </c>
      <c r="D529" s="99" t="s">
        <v>184</v>
      </c>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15" customHeight="1">
      <c r="A530" s="39" cm="1">
        <f t="array" ref="A530">IFERROR(INDEX('03.Muestra'!$B$8:$B$42,SMALL(IF("Página Web"='03.Muestra'!$D$8:$D$42,ROW('03.Muestra'!$B$8:$B$42)-MIN(ROW('03.Muestra'!$D$8:$D$42))+1,""),ROW()-512)),"")</f>
        <v>18</v>
      </c>
      <c r="B530" s="85" t="str" cm="1">
        <f t="array" ref="B530">IFERROR(INDEX('03.Muestra'!$C$8:$C$42,SMALL(IF("Página Web"='03.Muestra'!$D$8:$D$42,ROW('03.Muestra'!$C$8:$C$42)-MIN(ROW('03.Muestra'!$D$8:$D$42))+1,""),ROW()-512)),"")</f>
        <v>Aviso Legal-Privacidad</v>
      </c>
      <c r="C530" s="85" t="str" cm="1">
        <f t="array" ref="C530">IFERROR(INDEX('03.Muestra'!$F$8:$F$42,SMALL(IF("Página Web"='03.Muestra'!$D$8:$D$42,ROW('03.Muestra'!$F$8:$F$42)-MIN(ROW('03.Muestra'!$D$8:$D$42))+1,""),ROW()-512)),"")</f>
        <v>https://elecciones.comunidad.madrid/es/aviso-legal</v>
      </c>
      <c r="D530" s="99" t="s">
        <v>184</v>
      </c>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15" customHeight="1">
      <c r="A531" s="39" cm="1">
        <f t="array" ref="A531">IFERROR(INDEX('03.Muestra'!$B$8:$B$42,SMALL(IF("Página Web"='03.Muestra'!$D$8:$D$42,ROW('03.Muestra'!$B$8:$B$42)-MIN(ROW('03.Muestra'!$D$8:$D$42))+1,""),ROW()-512)),"")</f>
        <v>19</v>
      </c>
      <c r="B531" s="85" t="str" cm="1">
        <f t="array" ref="B531">IFERROR(INDEX('03.Muestra'!$C$8:$C$42,SMALL(IF("Página Web"='03.Muestra'!$D$8:$D$42,ROW('03.Muestra'!$C$8:$C$42)-MIN(ROW('03.Muestra'!$D$8:$D$42))+1,""),ROW()-512)),"")</f>
        <v>Mapa Web</v>
      </c>
      <c r="C531" s="85" t="str" cm="1">
        <f t="array" ref="C531">IFERROR(INDEX('03.Muestra'!$F$8:$F$42,SMALL(IF("Página Web"='03.Muestra'!$D$8:$D$42,ROW('03.Muestra'!$F$8:$F$42)-MIN(ROW('03.Muestra'!$D$8:$D$42))+1,""),ROW()-512)),"")</f>
        <v>https://elecciones.comunidad.madrid/es/sitemap</v>
      </c>
      <c r="D531" s="99" t="s">
        <v>184</v>
      </c>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15" customHeight="1">
      <c r="A532" s="39" cm="1">
        <f t="array" ref="A532">IFERROR(INDEX('03.Muestra'!$B$8:$B$42,SMALL(IF("Página Web"='03.Muestra'!$D$8:$D$42,ROW('03.Muestra'!$B$8:$B$42)-MIN(ROW('03.Muestra'!$D$8:$D$42))+1,""),ROW()-512)),"")</f>
        <v>20</v>
      </c>
      <c r="B532" s="85" t="str" cm="1">
        <f t="array" ref="B532">IFERROR(INDEX('03.Muestra'!$C$8:$C$42,SMALL(IF("Página Web"='03.Muestra'!$D$8:$D$42,ROW('03.Muestra'!$C$8:$C$42)-MIN(ROW('03.Muestra'!$D$8:$D$42))+1,""),ROW()-512)),"")</f>
        <v>Declaracion Accesibilidad</v>
      </c>
      <c r="C532" s="85" t="str" cm="1">
        <f t="array" ref="C532">IFERROR(INDEX('03.Muestra'!$F$8:$F$42,SMALL(IF("Página Web"='03.Muestra'!$D$8:$D$42,ROW('03.Muestra'!$F$8:$F$42)-MIN(ROW('03.Muestra'!$D$8:$D$42))+1,""),ROW()-512)),"")</f>
        <v>https://elecciones.comunidad.madrid/es/accesibilidad</v>
      </c>
      <c r="D532" s="99" t="s">
        <v>184</v>
      </c>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15"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ref="D533:D547" si="27">IF(AND(B533&lt;&gt;"",C533&lt;&gt;""),"N/T","")</f>
        <v/>
      </c>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15"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15"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181</v>
      </c>
      <c r="B550" s="23" t="s">
        <v>173</v>
      </c>
      <c r="C550" s="24" t="s">
        <v>208</v>
      </c>
      <c r="D550" s="25" t="s">
        <v>183</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https://elecciones.comunidad.madrid/es</v>
      </c>
      <c r="D551" s="99" t="s">
        <v>184</v>
      </c>
      <c r="E551" s="79" t="str">
        <f t="shared" ref="E551:E585" si="28">IF(D551&lt;&gt;"",IF(AND(B551&lt;&gt;"",C551&lt;&gt;""),"","ERR"),"")</f>
        <v/>
      </c>
      <c r="F551" s="86" t="s">
        <v>185</v>
      </c>
      <c r="G551" s="87" t="s">
        <v>186</v>
      </c>
      <c r="H551" s="88" t="s">
        <v>184</v>
      </c>
      <c r="I551" s="89" t="s">
        <v>176</v>
      </c>
      <c r="J551" s="90" t="s">
        <v>174</v>
      </c>
      <c r="K551" s="181" t="s">
        <v>180</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Resultado Elecciones 28M 2023</v>
      </c>
      <c r="C552" s="85" t="str" cm="1">
        <f t="array" ref="C552">IFERROR(INDEX('03.Muestra'!$F$8:$F$42,SMALL(IF("Página Web"='03.Muestra'!$D$8:$D$42,ROW('03.Muestra'!$F$8:$F$42)-MIN(ROW('03.Muestra'!$D$8:$D$42))+1,""),ROW()-550)),"")</f>
        <v>https://elecciones.comunidad.madrid/es/resultados-elecciones-asamblea-madrid-28m-2023</v>
      </c>
      <c r="D552" s="99" t="s">
        <v>184</v>
      </c>
      <c r="E552" s="79" t="str">
        <f t="shared" si="28"/>
        <v/>
      </c>
      <c r="F552" s="91">
        <f ca="1">COUNTIF($D551:INDIRECT("$D" &amp;  SUM(ROW()-1,'03.Muestra'!$D$45)-1),F551)</f>
        <v>0</v>
      </c>
      <c r="G552" s="91">
        <f ca="1">COUNTIF($D551:INDIRECT("$D" &amp;  SUM(ROW()-1,'03.Muestra'!$D$45)-1),G551)</f>
        <v>0</v>
      </c>
      <c r="H552" s="91">
        <f ca="1">COUNTIF($D551:INDIRECT("$D" &amp;  SUM(ROW()-1,'03.Muestra'!$D$45)-1),H551)</f>
        <v>20</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Normativa electoral</v>
      </c>
      <c r="C553" s="85" t="str" cm="1">
        <f t="array" ref="C553">IFERROR(INDEX('03.Muestra'!$F$8:$F$42,SMALL(IF("Página Web"='03.Muestra'!$D$8:$D$42,ROW('03.Muestra'!$F$8:$F$42)-MIN(ROW('03.Muestra'!$D$8:$D$42))+1,""),ROW()-550)),"")</f>
        <v>https://elecciones.comunidad.madrid/es/informacion-electoral/normativa-electoral</v>
      </c>
      <c r="D553" s="99" t="s">
        <v>184</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Calendario electoral</v>
      </c>
      <c r="C554" s="85" t="str" cm="1">
        <f t="array" ref="C554">IFERROR(INDEX('03.Muestra'!$F$8:$F$42,SMALL(IF("Página Web"='03.Muestra'!$D$8:$D$42,ROW('03.Muestra'!$F$8:$F$42)-MIN(ROW('03.Muestra'!$D$8:$D$42))+1,""),ROW()-550)),"")</f>
        <v>https://elecciones.comunidad.madrid/es/informacion-electoral/calendario-electoral</v>
      </c>
      <c r="D554" s="99" t="s">
        <v>184</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Direcciones y teléfonos</v>
      </c>
      <c r="C555" s="85" t="str" cm="1">
        <f t="array" ref="C555">IFERROR(INDEX('03.Muestra'!$F$8:$F$42,SMALL(IF("Página Web"='03.Muestra'!$D$8:$D$42,ROW('03.Muestra'!$F$8:$F$42)-MIN(ROW('03.Muestra'!$D$8:$D$42))+1,""),ROW()-550)),"")</f>
        <v>https://elecciones.comunidad.madrid/es/juntas-electorales/direcciones-telefonos</v>
      </c>
      <c r="D555" s="99" t="s">
        <v>184</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Impresos electrónicos</v>
      </c>
      <c r="C556" s="85" t="str" cm="1">
        <f t="array" ref="C556">IFERROR(INDEX('03.Muestra'!$F$8:$F$42,SMALL(IF("Página Web"='03.Muestra'!$D$8:$D$42,ROW('03.Muestra'!$F$8:$F$42)-MIN(ROW('03.Muestra'!$D$8:$D$42))+1,""),ROW()-550)),"")</f>
        <v>https://elecciones.comunidad.madrid/es/formaciones-politicas/impresos-electronicos</v>
      </c>
      <c r="D556" s="99" t="s">
        <v>184</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Listado de candidaturas</v>
      </c>
      <c r="C557" s="85" t="str" cm="1">
        <f t="array" ref="C557">IFERROR(INDEX('03.Muestra'!$F$8:$F$42,SMALL(IF("Página Web"='03.Muestra'!$D$8:$D$42,ROW('03.Muestra'!$F$8:$F$42)-MIN(ROW('03.Muestra'!$D$8:$D$42))+1,""),ROW()-550)),"")</f>
        <v>https://elecciones.comunidad.madrid/es/formaciones-politicas/listado-candidaturas-proclamadas</v>
      </c>
      <c r="D557" s="99" t="s">
        <v>184</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Partido Feminista de España</v>
      </c>
      <c r="C558" s="85" t="str" cm="1">
        <f t="array" ref="C558">IFERROR(INDEX('03.Muestra'!$F$8:$F$42,SMALL(IF("Página Web"='03.Muestra'!$D$8:$D$42,ROW('03.Muestra'!$F$8:$F$42)-MIN(ROW('03.Muestra'!$D$8:$D$42))+1,""),ROW()-550)),"")</f>
        <v>https://elecciones.comunidad.madrid/es/formaciones-politicas/listado-candidaturas/partido-feminista-espana</v>
      </c>
      <c r="D558" s="99" t="s">
        <v>184</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¿Dónde voto?</v>
      </c>
      <c r="C559" s="85" t="str" cm="1">
        <f t="array" ref="C559">IFERROR(INDEX('03.Muestra'!$F$8:$F$42,SMALL(IF("Página Web"='03.Muestra'!$D$8:$D$42,ROW('03.Muestra'!$F$8:$F$42)-MIN(ROW('03.Muestra'!$D$8:$D$42))+1,""),ROW()-550)),"")</f>
        <v>https://elecciones.comunidad.madrid/es/votar/donde-voto</v>
      </c>
      <c r="D559" s="99" t="s">
        <v>184</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Voto presencial</v>
      </c>
      <c r="C560" s="85" t="str" cm="1">
        <f t="array" ref="C560">IFERROR(INDEX('03.Muestra'!$F$8:$F$42,SMALL(IF("Página Web"='03.Muestra'!$D$8:$D$42,ROW('03.Muestra'!$F$8:$F$42)-MIN(ROW('03.Muestra'!$D$8:$D$42))+1,""),ROW()-550)),"")</f>
        <v>https://elecciones.comunidad.madrid/es/voto-local-electoral/voto-presencial</v>
      </c>
      <c r="D560" s="99" t="s">
        <v>184</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Ciudadanos temporalmente en el extranjero</v>
      </c>
      <c r="C561" s="85" t="str" cm="1">
        <f t="array" ref="C561">IFERROR(INDEX('03.Muestra'!$F$8:$F$42,SMALL(IF("Página Web"='03.Muestra'!$D$8:$D$42,ROW('03.Muestra'!$F$8:$F$42)-MIN(ROW('03.Muestra'!$D$8:$D$42))+1,""),ROW()-550)),"")</f>
        <v>https://elecciones.comunidad.madrid/es/voto-correo/solicitud-voto-temporalmente-ausentes</v>
      </c>
      <c r="D561" s="99" t="s">
        <v>184</v>
      </c>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Nuevo votante</v>
      </c>
      <c r="C562" s="85" t="str" cm="1">
        <f t="array" ref="C562">IFERROR(INDEX('03.Muestra'!$F$8:$F$42,SMALL(IF("Página Web"='03.Muestra'!$D$8:$D$42,ROW('03.Muestra'!$F$8:$F$42)-MIN(ROW('03.Muestra'!$D$8:$D$42))+1,""),ROW()-550)),"")</f>
        <v>https://elecciones.comunidad.madrid/es/votar/nuevo-votante</v>
      </c>
      <c r="D562" s="99" t="s">
        <v>184</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15"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Simulación método D'Hondt</v>
      </c>
      <c r="C563" s="85" t="str" cm="1">
        <f t="array" ref="C563">IFERROR(INDEX('03.Muestra'!$F$8:$F$42,SMALL(IF("Página Web"='03.Muestra'!$D$8:$D$42,ROW('03.Muestra'!$F$8:$F$42)-MIN(ROW('03.Muestra'!$D$8:$D$42))+1,""),ROW()-550)),"")</f>
        <v>https://elecciones.comunidad.madrid/es/informacion-util/simulacion-metodo-dhondt</v>
      </c>
      <c r="D563" s="99" t="s">
        <v>184</v>
      </c>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15"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Ley D'Hondt</v>
      </c>
      <c r="C564" s="85" t="str" cm="1">
        <f t="array" ref="C564">IFERROR(INDEX('03.Muestra'!$F$8:$F$42,SMALL(IF("Página Web"='03.Muestra'!$D$8:$D$42,ROW('03.Muestra'!$F$8:$F$42)-MIN(ROW('03.Muestra'!$D$8:$D$42))+1,""),ROW()-550)),"")</f>
        <v>https://elecciones.comunidad.madrid/es/resultados/ley_d_hondt</v>
      </c>
      <c r="D564" s="99" t="s">
        <v>184</v>
      </c>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15" customHeight="1">
      <c r="A565" s="39" cm="1">
        <f t="array" ref="A565">IFERROR(INDEX('03.Muestra'!$B$8:$B$42,SMALL(IF("Página Web"='03.Muestra'!$D$8:$D$42,ROW('03.Muestra'!$B$8:$B$42)-MIN(ROW('03.Muestra'!$D$8:$D$42))+1,""),ROW()-550)),"")</f>
        <v>15</v>
      </c>
      <c r="B565" s="85" t="str" cm="1">
        <f t="array" ref="B565">IFERROR(INDEX('03.Muestra'!$C$8:$C$42,SMALL(IF("Página Web"='03.Muestra'!$D$8:$D$42,ROW('03.Muestra'!$C$8:$C$42)-MIN(ROW('03.Muestra'!$D$8:$D$42))+1,""),ROW()-550)),"")</f>
        <v>Voto por correo elector CERA en España</v>
      </c>
      <c r="C565" s="85" t="str" cm="1">
        <f t="array" ref="C565">IFERROR(INDEX('03.Muestra'!$F$8:$F$42,SMALL(IF("Página Web"='03.Muestra'!$D$8:$D$42,ROW('03.Muestra'!$F$8:$F$42)-MIN(ROW('03.Muestra'!$D$8:$D$42))+1,""),ROW()-550)),"")</f>
        <v>https://elecciones.comunidad.madrid/es/preguntas-frecuentes/voto-correo-electores-residentes-extranjero</v>
      </c>
      <c r="D565" s="99" t="s">
        <v>184</v>
      </c>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15" customHeight="1">
      <c r="A566" s="39" cm="1">
        <f t="array" ref="A566">IFERROR(INDEX('03.Muestra'!$B$8:$B$42,SMALL(IF("Página Web"='03.Muestra'!$D$8:$D$42,ROW('03.Muestra'!$B$8:$B$42)-MIN(ROW('03.Muestra'!$D$8:$D$42))+1,""),ROW()-550)),"")</f>
        <v>16</v>
      </c>
      <c r="B566" s="85" t="str" cm="1">
        <f t="array" ref="B566">IFERROR(INDEX('03.Muestra'!$C$8:$C$42,SMALL(IF("Página Web"='03.Muestra'!$D$8:$D$42,ROW('03.Muestra'!$C$8:$C$42)-MIN(ROW('03.Muestra'!$D$8:$D$42))+1,""),ROW()-550)),"")</f>
        <v>Contacto</v>
      </c>
      <c r="C566" s="85" t="str" cm="1">
        <f t="array" ref="C566">IFERROR(INDEX('03.Muestra'!$F$8:$F$42,SMALL(IF("Página Web"='03.Muestra'!$D$8:$D$42,ROW('03.Muestra'!$F$8:$F$42)-MIN(ROW('03.Muestra'!$D$8:$D$42))+1,""),ROW()-550)),"")</f>
        <v>https://elecciones.comunidad.madrid/es/buzon-de-sugerencias</v>
      </c>
      <c r="D566" s="99" t="s">
        <v>184</v>
      </c>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15" customHeight="1">
      <c r="A567" s="39" cm="1">
        <f t="array" ref="A567">IFERROR(INDEX('03.Muestra'!$B$8:$B$42,SMALL(IF("Página Web"='03.Muestra'!$D$8:$D$42,ROW('03.Muestra'!$B$8:$B$42)-MIN(ROW('03.Muestra'!$D$8:$D$42))+1,""),ROW()-550)),"")</f>
        <v>17</v>
      </c>
      <c r="B567" s="85" t="str" cm="1">
        <f t="array" ref="B567">IFERROR(INDEX('03.Muestra'!$C$8:$C$42,SMALL(IF("Página Web"='03.Muestra'!$D$8:$D$42,ROW('03.Muestra'!$C$8:$C$42)-MIN(ROW('03.Muestra'!$D$8:$D$42))+1,""),ROW()-550)),"")</f>
        <v>Buscador</v>
      </c>
      <c r="C567" s="85" t="str" cm="1">
        <f t="array" ref="C567">IFERROR(INDEX('03.Muestra'!$F$8:$F$42,SMALL(IF("Página Web"='03.Muestra'!$D$8:$D$42,ROW('03.Muestra'!$F$8:$F$42)-MIN(ROW('03.Muestra'!$D$8:$D$42))+1,""),ROW()-550)),"")</f>
        <v>https://elecciones.comunidad.madrid/es/search?search_api_fulltext=partido</v>
      </c>
      <c r="D567" s="99" t="s">
        <v>184</v>
      </c>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15" customHeight="1">
      <c r="A568" s="39" cm="1">
        <f t="array" ref="A568">IFERROR(INDEX('03.Muestra'!$B$8:$B$42,SMALL(IF("Página Web"='03.Muestra'!$D$8:$D$42,ROW('03.Muestra'!$B$8:$B$42)-MIN(ROW('03.Muestra'!$D$8:$D$42))+1,""),ROW()-550)),"")</f>
        <v>18</v>
      </c>
      <c r="B568" s="85" t="str" cm="1">
        <f t="array" ref="B568">IFERROR(INDEX('03.Muestra'!$C$8:$C$42,SMALL(IF("Página Web"='03.Muestra'!$D$8:$D$42,ROW('03.Muestra'!$C$8:$C$42)-MIN(ROW('03.Muestra'!$D$8:$D$42))+1,""),ROW()-550)),"")</f>
        <v>Aviso Legal-Privacidad</v>
      </c>
      <c r="C568" s="85" t="str" cm="1">
        <f t="array" ref="C568">IFERROR(INDEX('03.Muestra'!$F$8:$F$42,SMALL(IF("Página Web"='03.Muestra'!$D$8:$D$42,ROW('03.Muestra'!$F$8:$F$42)-MIN(ROW('03.Muestra'!$D$8:$D$42))+1,""),ROW()-550)),"")</f>
        <v>https://elecciones.comunidad.madrid/es/aviso-legal</v>
      </c>
      <c r="D568" s="99" t="s">
        <v>184</v>
      </c>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15" customHeight="1">
      <c r="A569" s="39" cm="1">
        <f t="array" ref="A569">IFERROR(INDEX('03.Muestra'!$B$8:$B$42,SMALL(IF("Página Web"='03.Muestra'!$D$8:$D$42,ROW('03.Muestra'!$B$8:$B$42)-MIN(ROW('03.Muestra'!$D$8:$D$42))+1,""),ROW()-550)),"")</f>
        <v>19</v>
      </c>
      <c r="B569" s="85" t="str" cm="1">
        <f t="array" ref="B569">IFERROR(INDEX('03.Muestra'!$C$8:$C$42,SMALL(IF("Página Web"='03.Muestra'!$D$8:$D$42,ROW('03.Muestra'!$C$8:$C$42)-MIN(ROW('03.Muestra'!$D$8:$D$42))+1,""),ROW()-550)),"")</f>
        <v>Mapa Web</v>
      </c>
      <c r="C569" s="85" t="str" cm="1">
        <f t="array" ref="C569">IFERROR(INDEX('03.Muestra'!$F$8:$F$42,SMALL(IF("Página Web"='03.Muestra'!$D$8:$D$42,ROW('03.Muestra'!$F$8:$F$42)-MIN(ROW('03.Muestra'!$D$8:$D$42))+1,""),ROW()-550)),"")</f>
        <v>https://elecciones.comunidad.madrid/es/sitemap</v>
      </c>
      <c r="D569" s="99" t="s">
        <v>184</v>
      </c>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15" customHeight="1">
      <c r="A570" s="39" cm="1">
        <f t="array" ref="A570">IFERROR(INDEX('03.Muestra'!$B$8:$B$42,SMALL(IF("Página Web"='03.Muestra'!$D$8:$D$42,ROW('03.Muestra'!$B$8:$B$42)-MIN(ROW('03.Muestra'!$D$8:$D$42))+1,""),ROW()-550)),"")</f>
        <v>20</v>
      </c>
      <c r="B570" s="85" t="str" cm="1">
        <f t="array" ref="B570">IFERROR(INDEX('03.Muestra'!$C$8:$C$42,SMALL(IF("Página Web"='03.Muestra'!$D$8:$D$42,ROW('03.Muestra'!$C$8:$C$42)-MIN(ROW('03.Muestra'!$D$8:$D$42))+1,""),ROW()-550)),"")</f>
        <v>Declaracion Accesibilidad</v>
      </c>
      <c r="C570" s="85" t="str" cm="1">
        <f t="array" ref="C570">IFERROR(INDEX('03.Muestra'!$F$8:$F$42,SMALL(IF("Página Web"='03.Muestra'!$D$8:$D$42,ROW('03.Muestra'!$F$8:$F$42)-MIN(ROW('03.Muestra'!$D$8:$D$42))+1,""),ROW()-550)),"")</f>
        <v>https://elecciones.comunidad.madrid/es/accesibilidad</v>
      </c>
      <c r="D570" s="99" t="s">
        <v>184</v>
      </c>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15"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ref="D571:D585" si="29">IF(AND(B571&lt;&gt;"",C571&lt;&gt;""),"N/T","")</f>
        <v/>
      </c>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15"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15"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181</v>
      </c>
      <c r="B588" s="23" t="s">
        <v>173</v>
      </c>
      <c r="C588" s="24" t="s">
        <v>209</v>
      </c>
      <c r="D588" s="25" t="s">
        <v>183</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https://elecciones.comunidad.madrid/es</v>
      </c>
      <c r="D589" s="99" t="s">
        <v>184</v>
      </c>
      <c r="E589" s="79" t="str">
        <f t="shared" ref="E589:E623" si="30">IF(D589&lt;&gt;"",IF(AND(B589&lt;&gt;"",C589&lt;&gt;""),"","ERR"),"")</f>
        <v/>
      </c>
      <c r="F589" s="86" t="s">
        <v>185</v>
      </c>
      <c r="G589" s="87" t="s">
        <v>186</v>
      </c>
      <c r="H589" s="88" t="s">
        <v>184</v>
      </c>
      <c r="I589" s="89" t="s">
        <v>176</v>
      </c>
      <c r="J589" s="90" t="s">
        <v>174</v>
      </c>
      <c r="K589" s="181" t="s">
        <v>180</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Resultado Elecciones 28M 2023</v>
      </c>
      <c r="C590" s="85" t="str" cm="1">
        <f t="array" ref="C590">IFERROR(INDEX('03.Muestra'!$F$8:$F$42,SMALL(IF("Página Web"='03.Muestra'!$D$8:$D$42,ROW('03.Muestra'!$F$8:$F$42)-MIN(ROW('03.Muestra'!$D$8:$D$42))+1,""),ROW()-588)),"")</f>
        <v>https://elecciones.comunidad.madrid/es/resultados-elecciones-asamblea-madrid-28m-2023</v>
      </c>
      <c r="D590" s="99" t="s">
        <v>184</v>
      </c>
      <c r="E590" s="79" t="str">
        <f t="shared" si="30"/>
        <v/>
      </c>
      <c r="F590" s="91">
        <f ca="1">COUNTIF($D589:INDIRECT("$D" &amp;  SUM(ROW()-1,'03.Muestra'!$D$45)-1),F589)</f>
        <v>0</v>
      </c>
      <c r="G590" s="91">
        <f ca="1">COUNTIF($D589:INDIRECT("$D" &amp;  SUM(ROW()-1,'03.Muestra'!$D$45)-1),G589)</f>
        <v>0</v>
      </c>
      <c r="H590" s="91">
        <f ca="1">COUNTIF($D589:INDIRECT("$D" &amp;  SUM(ROW()-1,'03.Muestra'!$D$45)-1),H589)</f>
        <v>20</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Normativa electoral</v>
      </c>
      <c r="C591" s="85" t="str" cm="1">
        <f t="array" ref="C591">IFERROR(INDEX('03.Muestra'!$F$8:$F$42,SMALL(IF("Página Web"='03.Muestra'!$D$8:$D$42,ROW('03.Muestra'!$F$8:$F$42)-MIN(ROW('03.Muestra'!$D$8:$D$42))+1,""),ROW()-588)),"")</f>
        <v>https://elecciones.comunidad.madrid/es/informacion-electoral/normativa-electoral</v>
      </c>
      <c r="D591" s="99" t="s">
        <v>184</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Calendario electoral</v>
      </c>
      <c r="C592" s="85" t="str" cm="1">
        <f t="array" ref="C592">IFERROR(INDEX('03.Muestra'!$F$8:$F$42,SMALL(IF("Página Web"='03.Muestra'!$D$8:$D$42,ROW('03.Muestra'!$F$8:$F$42)-MIN(ROW('03.Muestra'!$D$8:$D$42))+1,""),ROW()-588)),"")</f>
        <v>https://elecciones.comunidad.madrid/es/informacion-electoral/calendario-electoral</v>
      </c>
      <c r="D592" s="99" t="s">
        <v>184</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Direcciones y teléfonos</v>
      </c>
      <c r="C593" s="85" t="str" cm="1">
        <f t="array" ref="C593">IFERROR(INDEX('03.Muestra'!$F$8:$F$42,SMALL(IF("Página Web"='03.Muestra'!$D$8:$D$42,ROW('03.Muestra'!$F$8:$F$42)-MIN(ROW('03.Muestra'!$D$8:$D$42))+1,""),ROW()-588)),"")</f>
        <v>https://elecciones.comunidad.madrid/es/juntas-electorales/direcciones-telefonos</v>
      </c>
      <c r="D593" s="99" t="s">
        <v>184</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Impresos electrónicos</v>
      </c>
      <c r="C594" s="85" t="str" cm="1">
        <f t="array" ref="C594">IFERROR(INDEX('03.Muestra'!$F$8:$F$42,SMALL(IF("Página Web"='03.Muestra'!$D$8:$D$42,ROW('03.Muestra'!$F$8:$F$42)-MIN(ROW('03.Muestra'!$D$8:$D$42))+1,""),ROW()-588)),"")</f>
        <v>https://elecciones.comunidad.madrid/es/formaciones-politicas/impresos-electronicos</v>
      </c>
      <c r="D594" s="99" t="s">
        <v>184</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Listado de candidaturas</v>
      </c>
      <c r="C595" s="85" t="str" cm="1">
        <f t="array" ref="C595">IFERROR(INDEX('03.Muestra'!$F$8:$F$42,SMALL(IF("Página Web"='03.Muestra'!$D$8:$D$42,ROW('03.Muestra'!$F$8:$F$42)-MIN(ROW('03.Muestra'!$D$8:$D$42))+1,""),ROW()-588)),"")</f>
        <v>https://elecciones.comunidad.madrid/es/formaciones-politicas/listado-candidaturas-proclamadas</v>
      </c>
      <c r="D595" s="99" t="s">
        <v>184</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Partido Feminista de España</v>
      </c>
      <c r="C596" s="85" t="str" cm="1">
        <f t="array" ref="C596">IFERROR(INDEX('03.Muestra'!$F$8:$F$42,SMALL(IF("Página Web"='03.Muestra'!$D$8:$D$42,ROW('03.Muestra'!$F$8:$F$42)-MIN(ROW('03.Muestra'!$D$8:$D$42))+1,""),ROW()-588)),"")</f>
        <v>https://elecciones.comunidad.madrid/es/formaciones-politicas/listado-candidaturas/partido-feminista-espana</v>
      </c>
      <c r="D596" s="99" t="s">
        <v>184</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¿Dónde voto?</v>
      </c>
      <c r="C597" s="85" t="str" cm="1">
        <f t="array" ref="C597">IFERROR(INDEX('03.Muestra'!$F$8:$F$42,SMALL(IF("Página Web"='03.Muestra'!$D$8:$D$42,ROW('03.Muestra'!$F$8:$F$42)-MIN(ROW('03.Muestra'!$D$8:$D$42))+1,""),ROW()-588)),"")</f>
        <v>https://elecciones.comunidad.madrid/es/votar/donde-voto</v>
      </c>
      <c r="D597" s="99" t="s">
        <v>184</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Voto presencial</v>
      </c>
      <c r="C598" s="85" t="str" cm="1">
        <f t="array" ref="C598">IFERROR(INDEX('03.Muestra'!$F$8:$F$42,SMALL(IF("Página Web"='03.Muestra'!$D$8:$D$42,ROW('03.Muestra'!$F$8:$F$42)-MIN(ROW('03.Muestra'!$D$8:$D$42))+1,""),ROW()-588)),"")</f>
        <v>https://elecciones.comunidad.madrid/es/voto-local-electoral/voto-presencial</v>
      </c>
      <c r="D598" s="99" t="s">
        <v>184</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Ciudadanos temporalmente en el extranjero</v>
      </c>
      <c r="C599" s="85" t="str" cm="1">
        <f t="array" ref="C599">IFERROR(INDEX('03.Muestra'!$F$8:$F$42,SMALL(IF("Página Web"='03.Muestra'!$D$8:$D$42,ROW('03.Muestra'!$F$8:$F$42)-MIN(ROW('03.Muestra'!$D$8:$D$42))+1,""),ROW()-588)),"")</f>
        <v>https://elecciones.comunidad.madrid/es/voto-correo/solicitud-voto-temporalmente-ausentes</v>
      </c>
      <c r="D599" s="99" t="s">
        <v>184</v>
      </c>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Nuevo votante</v>
      </c>
      <c r="C600" s="85" t="str" cm="1">
        <f t="array" ref="C600">IFERROR(INDEX('03.Muestra'!$F$8:$F$42,SMALL(IF("Página Web"='03.Muestra'!$D$8:$D$42,ROW('03.Muestra'!$F$8:$F$42)-MIN(ROW('03.Muestra'!$D$8:$D$42))+1,""),ROW()-588)),"")</f>
        <v>https://elecciones.comunidad.madrid/es/votar/nuevo-votante</v>
      </c>
      <c r="D600" s="99" t="s">
        <v>184</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15"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Simulación método D'Hondt</v>
      </c>
      <c r="C601" s="85" t="str" cm="1">
        <f t="array" ref="C601">IFERROR(INDEX('03.Muestra'!$F$8:$F$42,SMALL(IF("Página Web"='03.Muestra'!$D$8:$D$42,ROW('03.Muestra'!$F$8:$F$42)-MIN(ROW('03.Muestra'!$D$8:$D$42))+1,""),ROW()-588)),"")</f>
        <v>https://elecciones.comunidad.madrid/es/informacion-util/simulacion-metodo-dhondt</v>
      </c>
      <c r="D601" s="99" t="s">
        <v>184</v>
      </c>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15"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Ley D'Hondt</v>
      </c>
      <c r="C602" s="85" t="str" cm="1">
        <f t="array" ref="C602">IFERROR(INDEX('03.Muestra'!$F$8:$F$42,SMALL(IF("Página Web"='03.Muestra'!$D$8:$D$42,ROW('03.Muestra'!$F$8:$F$42)-MIN(ROW('03.Muestra'!$D$8:$D$42))+1,""),ROW()-588)),"")</f>
        <v>https://elecciones.comunidad.madrid/es/resultados/ley_d_hondt</v>
      </c>
      <c r="D602" s="99" t="s">
        <v>184</v>
      </c>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15" customHeight="1">
      <c r="A603" s="39" cm="1">
        <f t="array" ref="A603">IFERROR(INDEX('03.Muestra'!$B$8:$B$42,SMALL(IF("Página Web"='03.Muestra'!$D$8:$D$42,ROW('03.Muestra'!$B$8:$B$42)-MIN(ROW('03.Muestra'!$D$8:$D$42))+1,""),ROW()-588)),"")</f>
        <v>15</v>
      </c>
      <c r="B603" s="85" t="str" cm="1">
        <f t="array" ref="B603">IFERROR(INDEX('03.Muestra'!$C$8:$C$42,SMALL(IF("Página Web"='03.Muestra'!$D$8:$D$42,ROW('03.Muestra'!$C$8:$C$42)-MIN(ROW('03.Muestra'!$D$8:$D$42))+1,""),ROW()-588)),"")</f>
        <v>Voto por correo elector CERA en España</v>
      </c>
      <c r="C603" s="85" t="str" cm="1">
        <f t="array" ref="C603">IFERROR(INDEX('03.Muestra'!$F$8:$F$42,SMALL(IF("Página Web"='03.Muestra'!$D$8:$D$42,ROW('03.Muestra'!$F$8:$F$42)-MIN(ROW('03.Muestra'!$D$8:$D$42))+1,""),ROW()-588)),"")</f>
        <v>https://elecciones.comunidad.madrid/es/preguntas-frecuentes/voto-correo-electores-residentes-extranjero</v>
      </c>
      <c r="D603" s="99" t="s">
        <v>184</v>
      </c>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15" customHeight="1">
      <c r="A604" s="39" cm="1">
        <f t="array" ref="A604">IFERROR(INDEX('03.Muestra'!$B$8:$B$42,SMALL(IF("Página Web"='03.Muestra'!$D$8:$D$42,ROW('03.Muestra'!$B$8:$B$42)-MIN(ROW('03.Muestra'!$D$8:$D$42))+1,""),ROW()-588)),"")</f>
        <v>16</v>
      </c>
      <c r="B604" s="85" t="str" cm="1">
        <f t="array" ref="B604">IFERROR(INDEX('03.Muestra'!$C$8:$C$42,SMALL(IF("Página Web"='03.Muestra'!$D$8:$D$42,ROW('03.Muestra'!$C$8:$C$42)-MIN(ROW('03.Muestra'!$D$8:$D$42))+1,""),ROW()-588)),"")</f>
        <v>Contacto</v>
      </c>
      <c r="C604" s="85" t="str" cm="1">
        <f t="array" ref="C604">IFERROR(INDEX('03.Muestra'!$F$8:$F$42,SMALL(IF("Página Web"='03.Muestra'!$D$8:$D$42,ROW('03.Muestra'!$F$8:$F$42)-MIN(ROW('03.Muestra'!$D$8:$D$42))+1,""),ROW()-588)),"")</f>
        <v>https://elecciones.comunidad.madrid/es/buzon-de-sugerencias</v>
      </c>
      <c r="D604" s="99" t="s">
        <v>184</v>
      </c>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15" customHeight="1">
      <c r="A605" s="39" cm="1">
        <f t="array" ref="A605">IFERROR(INDEX('03.Muestra'!$B$8:$B$42,SMALL(IF("Página Web"='03.Muestra'!$D$8:$D$42,ROW('03.Muestra'!$B$8:$B$42)-MIN(ROW('03.Muestra'!$D$8:$D$42))+1,""),ROW()-588)),"")</f>
        <v>17</v>
      </c>
      <c r="B605" s="85" t="str" cm="1">
        <f t="array" ref="B605">IFERROR(INDEX('03.Muestra'!$C$8:$C$42,SMALL(IF("Página Web"='03.Muestra'!$D$8:$D$42,ROW('03.Muestra'!$C$8:$C$42)-MIN(ROW('03.Muestra'!$D$8:$D$42))+1,""),ROW()-588)),"")</f>
        <v>Buscador</v>
      </c>
      <c r="C605" s="85" t="str" cm="1">
        <f t="array" ref="C605">IFERROR(INDEX('03.Muestra'!$F$8:$F$42,SMALL(IF("Página Web"='03.Muestra'!$D$8:$D$42,ROW('03.Muestra'!$F$8:$F$42)-MIN(ROW('03.Muestra'!$D$8:$D$42))+1,""),ROW()-588)),"")</f>
        <v>https://elecciones.comunidad.madrid/es/search?search_api_fulltext=partido</v>
      </c>
      <c r="D605" s="99" t="s">
        <v>184</v>
      </c>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15" customHeight="1">
      <c r="A606" s="39" cm="1">
        <f t="array" ref="A606">IFERROR(INDEX('03.Muestra'!$B$8:$B$42,SMALL(IF("Página Web"='03.Muestra'!$D$8:$D$42,ROW('03.Muestra'!$B$8:$B$42)-MIN(ROW('03.Muestra'!$D$8:$D$42))+1,""),ROW()-588)),"")</f>
        <v>18</v>
      </c>
      <c r="B606" s="85" t="str" cm="1">
        <f t="array" ref="B606">IFERROR(INDEX('03.Muestra'!$C$8:$C$42,SMALL(IF("Página Web"='03.Muestra'!$D$8:$D$42,ROW('03.Muestra'!$C$8:$C$42)-MIN(ROW('03.Muestra'!$D$8:$D$42))+1,""),ROW()-588)),"")</f>
        <v>Aviso Legal-Privacidad</v>
      </c>
      <c r="C606" s="85" t="str" cm="1">
        <f t="array" ref="C606">IFERROR(INDEX('03.Muestra'!$F$8:$F$42,SMALL(IF("Página Web"='03.Muestra'!$D$8:$D$42,ROW('03.Muestra'!$F$8:$F$42)-MIN(ROW('03.Muestra'!$D$8:$D$42))+1,""),ROW()-588)),"")</f>
        <v>https://elecciones.comunidad.madrid/es/aviso-legal</v>
      </c>
      <c r="D606" s="99" t="s">
        <v>184</v>
      </c>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15" customHeight="1">
      <c r="A607" s="39" cm="1">
        <f t="array" ref="A607">IFERROR(INDEX('03.Muestra'!$B$8:$B$42,SMALL(IF("Página Web"='03.Muestra'!$D$8:$D$42,ROW('03.Muestra'!$B$8:$B$42)-MIN(ROW('03.Muestra'!$D$8:$D$42))+1,""),ROW()-588)),"")</f>
        <v>19</v>
      </c>
      <c r="B607" s="85" t="str" cm="1">
        <f t="array" ref="B607">IFERROR(INDEX('03.Muestra'!$C$8:$C$42,SMALL(IF("Página Web"='03.Muestra'!$D$8:$D$42,ROW('03.Muestra'!$C$8:$C$42)-MIN(ROW('03.Muestra'!$D$8:$D$42))+1,""),ROW()-588)),"")</f>
        <v>Mapa Web</v>
      </c>
      <c r="C607" s="85" t="str" cm="1">
        <f t="array" ref="C607">IFERROR(INDEX('03.Muestra'!$F$8:$F$42,SMALL(IF("Página Web"='03.Muestra'!$D$8:$D$42,ROW('03.Muestra'!$F$8:$F$42)-MIN(ROW('03.Muestra'!$D$8:$D$42))+1,""),ROW()-588)),"")</f>
        <v>https://elecciones.comunidad.madrid/es/sitemap</v>
      </c>
      <c r="D607" s="99" t="s">
        <v>184</v>
      </c>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15" customHeight="1">
      <c r="A608" s="39" cm="1">
        <f t="array" ref="A608">IFERROR(INDEX('03.Muestra'!$B$8:$B$42,SMALL(IF("Página Web"='03.Muestra'!$D$8:$D$42,ROW('03.Muestra'!$B$8:$B$42)-MIN(ROW('03.Muestra'!$D$8:$D$42))+1,""),ROW()-588)),"")</f>
        <v>20</v>
      </c>
      <c r="B608" s="85" t="str" cm="1">
        <f t="array" ref="B608">IFERROR(INDEX('03.Muestra'!$C$8:$C$42,SMALL(IF("Página Web"='03.Muestra'!$D$8:$D$42,ROW('03.Muestra'!$C$8:$C$42)-MIN(ROW('03.Muestra'!$D$8:$D$42))+1,""),ROW()-588)),"")</f>
        <v>Declaracion Accesibilidad</v>
      </c>
      <c r="C608" s="85" t="str" cm="1">
        <f t="array" ref="C608">IFERROR(INDEX('03.Muestra'!$F$8:$F$42,SMALL(IF("Página Web"='03.Muestra'!$D$8:$D$42,ROW('03.Muestra'!$F$8:$F$42)-MIN(ROW('03.Muestra'!$D$8:$D$42))+1,""),ROW()-588)),"")</f>
        <v>https://elecciones.comunidad.madrid/es/accesibilidad</v>
      </c>
      <c r="D608" s="99" t="s">
        <v>184</v>
      </c>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15"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ref="D609:D623" si="31">IF(AND(B609&lt;&gt;"",C609&lt;&gt;""),"N/T","")</f>
        <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15"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15"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181</v>
      </c>
      <c r="B626" s="23" t="s">
        <v>173</v>
      </c>
      <c r="C626" s="24" t="s">
        <v>210</v>
      </c>
      <c r="D626" s="25" t="s">
        <v>183</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https://elecciones.comunidad.madrid/es</v>
      </c>
      <c r="D627" s="99" t="s">
        <v>184</v>
      </c>
      <c r="E627" s="79" t="str">
        <f t="shared" ref="E627:E661" si="32">IF(D627&lt;&gt;"",IF(AND(B627&lt;&gt;"",C627&lt;&gt;""),"","ERR"),"")</f>
        <v/>
      </c>
      <c r="F627" s="86" t="s">
        <v>185</v>
      </c>
      <c r="G627" s="87" t="s">
        <v>186</v>
      </c>
      <c r="H627" s="88" t="s">
        <v>184</v>
      </c>
      <c r="I627" s="89" t="s">
        <v>176</v>
      </c>
      <c r="J627" s="90" t="s">
        <v>174</v>
      </c>
      <c r="K627" s="181" t="s">
        <v>180</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Resultado Elecciones 28M 2023</v>
      </c>
      <c r="C628" s="85" t="str" cm="1">
        <f t="array" ref="C628">IFERROR(INDEX('03.Muestra'!$F$8:$F$42,SMALL(IF("Página Web"='03.Muestra'!$D$8:$D$42,ROW('03.Muestra'!$F$8:$F$42)-MIN(ROW('03.Muestra'!$D$8:$D$42))+1,""),ROW()-626)),"")</f>
        <v>https://elecciones.comunidad.madrid/es/resultados-elecciones-asamblea-madrid-28m-2023</v>
      </c>
      <c r="D628" s="99" t="s">
        <v>184</v>
      </c>
      <c r="E628" s="79" t="str">
        <f t="shared" si="32"/>
        <v/>
      </c>
      <c r="F628" s="91">
        <f ca="1">COUNTIF($D627:INDIRECT("$D" &amp;  SUM(ROW()-1,'03.Muestra'!$D$45)-1),F627)</f>
        <v>0</v>
      </c>
      <c r="G628" s="91">
        <f ca="1">COUNTIF($D627:INDIRECT("$D" &amp;  SUM(ROW()-1,'03.Muestra'!$D$45)-1),G627)</f>
        <v>0</v>
      </c>
      <c r="H628" s="91">
        <f ca="1">COUNTIF($D627:INDIRECT("$D" &amp;  SUM(ROW()-1,'03.Muestra'!$D$45)-1),H627)</f>
        <v>20</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Normativa electoral</v>
      </c>
      <c r="C629" s="85" t="str" cm="1">
        <f t="array" ref="C629">IFERROR(INDEX('03.Muestra'!$F$8:$F$42,SMALL(IF("Página Web"='03.Muestra'!$D$8:$D$42,ROW('03.Muestra'!$F$8:$F$42)-MIN(ROW('03.Muestra'!$D$8:$D$42))+1,""),ROW()-626)),"")</f>
        <v>https://elecciones.comunidad.madrid/es/informacion-electoral/normativa-electoral</v>
      </c>
      <c r="D629" s="99" t="s">
        <v>184</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Calendario electoral</v>
      </c>
      <c r="C630" s="85" t="str" cm="1">
        <f t="array" ref="C630">IFERROR(INDEX('03.Muestra'!$F$8:$F$42,SMALL(IF("Página Web"='03.Muestra'!$D$8:$D$42,ROW('03.Muestra'!$F$8:$F$42)-MIN(ROW('03.Muestra'!$D$8:$D$42))+1,""),ROW()-626)),"")</f>
        <v>https://elecciones.comunidad.madrid/es/informacion-electoral/calendario-electoral</v>
      </c>
      <c r="D630" s="99" t="s">
        <v>184</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Direcciones y teléfonos</v>
      </c>
      <c r="C631" s="85" t="str" cm="1">
        <f t="array" ref="C631">IFERROR(INDEX('03.Muestra'!$F$8:$F$42,SMALL(IF("Página Web"='03.Muestra'!$D$8:$D$42,ROW('03.Muestra'!$F$8:$F$42)-MIN(ROW('03.Muestra'!$D$8:$D$42))+1,""),ROW()-626)),"")</f>
        <v>https://elecciones.comunidad.madrid/es/juntas-electorales/direcciones-telefonos</v>
      </c>
      <c r="D631" s="99" t="s">
        <v>184</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Impresos electrónicos</v>
      </c>
      <c r="C632" s="85" t="str" cm="1">
        <f t="array" ref="C632">IFERROR(INDEX('03.Muestra'!$F$8:$F$42,SMALL(IF("Página Web"='03.Muestra'!$D$8:$D$42,ROW('03.Muestra'!$F$8:$F$42)-MIN(ROW('03.Muestra'!$D$8:$D$42))+1,""),ROW()-626)),"")</f>
        <v>https://elecciones.comunidad.madrid/es/formaciones-politicas/impresos-electronicos</v>
      </c>
      <c r="D632" s="99" t="s">
        <v>184</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Listado de candidaturas</v>
      </c>
      <c r="C633" s="85" t="str" cm="1">
        <f t="array" ref="C633">IFERROR(INDEX('03.Muestra'!$F$8:$F$42,SMALL(IF("Página Web"='03.Muestra'!$D$8:$D$42,ROW('03.Muestra'!$F$8:$F$42)-MIN(ROW('03.Muestra'!$D$8:$D$42))+1,""),ROW()-626)),"")</f>
        <v>https://elecciones.comunidad.madrid/es/formaciones-politicas/listado-candidaturas-proclamadas</v>
      </c>
      <c r="D633" s="99" t="s">
        <v>184</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Partido Feminista de España</v>
      </c>
      <c r="C634" s="85" t="str" cm="1">
        <f t="array" ref="C634">IFERROR(INDEX('03.Muestra'!$F$8:$F$42,SMALL(IF("Página Web"='03.Muestra'!$D$8:$D$42,ROW('03.Muestra'!$F$8:$F$42)-MIN(ROW('03.Muestra'!$D$8:$D$42))+1,""),ROW()-626)),"")</f>
        <v>https://elecciones.comunidad.madrid/es/formaciones-politicas/listado-candidaturas/partido-feminista-espana</v>
      </c>
      <c r="D634" s="99" t="s">
        <v>184</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¿Dónde voto?</v>
      </c>
      <c r="C635" s="85" t="str" cm="1">
        <f t="array" ref="C635">IFERROR(INDEX('03.Muestra'!$F$8:$F$42,SMALL(IF("Página Web"='03.Muestra'!$D$8:$D$42,ROW('03.Muestra'!$F$8:$F$42)-MIN(ROW('03.Muestra'!$D$8:$D$42))+1,""),ROW()-626)),"")</f>
        <v>https://elecciones.comunidad.madrid/es/votar/donde-voto</v>
      </c>
      <c r="D635" s="99" t="s">
        <v>184</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Voto presencial</v>
      </c>
      <c r="C636" s="85" t="str" cm="1">
        <f t="array" ref="C636">IFERROR(INDEX('03.Muestra'!$F$8:$F$42,SMALL(IF("Página Web"='03.Muestra'!$D$8:$D$42,ROW('03.Muestra'!$F$8:$F$42)-MIN(ROW('03.Muestra'!$D$8:$D$42))+1,""),ROW()-626)),"")</f>
        <v>https://elecciones.comunidad.madrid/es/voto-local-electoral/voto-presencial</v>
      </c>
      <c r="D636" s="99" t="s">
        <v>184</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Ciudadanos temporalmente en el extranjero</v>
      </c>
      <c r="C637" s="85" t="str" cm="1">
        <f t="array" ref="C637">IFERROR(INDEX('03.Muestra'!$F$8:$F$42,SMALL(IF("Página Web"='03.Muestra'!$D$8:$D$42,ROW('03.Muestra'!$F$8:$F$42)-MIN(ROW('03.Muestra'!$D$8:$D$42))+1,""),ROW()-626)),"")</f>
        <v>https://elecciones.comunidad.madrid/es/voto-correo/solicitud-voto-temporalmente-ausentes</v>
      </c>
      <c r="D637" s="99" t="s">
        <v>184</v>
      </c>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Nuevo votante</v>
      </c>
      <c r="C638" s="85" t="str" cm="1">
        <f t="array" ref="C638">IFERROR(INDEX('03.Muestra'!$F$8:$F$42,SMALL(IF("Página Web"='03.Muestra'!$D$8:$D$42,ROW('03.Muestra'!$F$8:$F$42)-MIN(ROW('03.Muestra'!$D$8:$D$42))+1,""),ROW()-626)),"")</f>
        <v>https://elecciones.comunidad.madrid/es/votar/nuevo-votante</v>
      </c>
      <c r="D638" s="99" t="s">
        <v>184</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15"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Simulación método D'Hondt</v>
      </c>
      <c r="C639" s="85" t="str" cm="1">
        <f t="array" ref="C639">IFERROR(INDEX('03.Muestra'!$F$8:$F$42,SMALL(IF("Página Web"='03.Muestra'!$D$8:$D$42,ROW('03.Muestra'!$F$8:$F$42)-MIN(ROW('03.Muestra'!$D$8:$D$42))+1,""),ROW()-626)),"")</f>
        <v>https://elecciones.comunidad.madrid/es/informacion-util/simulacion-metodo-dhondt</v>
      </c>
      <c r="D639" s="99" t="s">
        <v>184</v>
      </c>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15"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Ley D'Hondt</v>
      </c>
      <c r="C640" s="85" t="str" cm="1">
        <f t="array" ref="C640">IFERROR(INDEX('03.Muestra'!$F$8:$F$42,SMALL(IF("Página Web"='03.Muestra'!$D$8:$D$42,ROW('03.Muestra'!$F$8:$F$42)-MIN(ROW('03.Muestra'!$D$8:$D$42))+1,""),ROW()-626)),"")</f>
        <v>https://elecciones.comunidad.madrid/es/resultados/ley_d_hondt</v>
      </c>
      <c r="D640" s="99" t="s">
        <v>184</v>
      </c>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15" customHeight="1">
      <c r="A641" s="39" cm="1">
        <f t="array" ref="A641">IFERROR(INDEX('03.Muestra'!$B$8:$B$42,SMALL(IF("Página Web"='03.Muestra'!$D$8:$D$42,ROW('03.Muestra'!$B$8:$B$42)-MIN(ROW('03.Muestra'!$D$8:$D$42))+1,""),ROW()-626)),"")</f>
        <v>15</v>
      </c>
      <c r="B641" s="85" t="str" cm="1">
        <f t="array" ref="B641">IFERROR(INDEX('03.Muestra'!$C$8:$C$42,SMALL(IF("Página Web"='03.Muestra'!$D$8:$D$42,ROW('03.Muestra'!$C$8:$C$42)-MIN(ROW('03.Muestra'!$D$8:$D$42))+1,""),ROW()-626)),"")</f>
        <v>Voto por correo elector CERA en España</v>
      </c>
      <c r="C641" s="85" t="str" cm="1">
        <f t="array" ref="C641">IFERROR(INDEX('03.Muestra'!$F$8:$F$42,SMALL(IF("Página Web"='03.Muestra'!$D$8:$D$42,ROW('03.Muestra'!$F$8:$F$42)-MIN(ROW('03.Muestra'!$D$8:$D$42))+1,""),ROW()-626)),"")</f>
        <v>https://elecciones.comunidad.madrid/es/preguntas-frecuentes/voto-correo-electores-residentes-extranjero</v>
      </c>
      <c r="D641" s="99" t="s">
        <v>184</v>
      </c>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15" customHeight="1">
      <c r="A642" s="39" cm="1">
        <f t="array" ref="A642">IFERROR(INDEX('03.Muestra'!$B$8:$B$42,SMALL(IF("Página Web"='03.Muestra'!$D$8:$D$42,ROW('03.Muestra'!$B$8:$B$42)-MIN(ROW('03.Muestra'!$D$8:$D$42))+1,""),ROW()-626)),"")</f>
        <v>16</v>
      </c>
      <c r="B642" s="85" t="str" cm="1">
        <f t="array" ref="B642">IFERROR(INDEX('03.Muestra'!$C$8:$C$42,SMALL(IF("Página Web"='03.Muestra'!$D$8:$D$42,ROW('03.Muestra'!$C$8:$C$42)-MIN(ROW('03.Muestra'!$D$8:$D$42))+1,""),ROW()-626)),"")</f>
        <v>Contacto</v>
      </c>
      <c r="C642" s="85" t="str" cm="1">
        <f t="array" ref="C642">IFERROR(INDEX('03.Muestra'!$F$8:$F$42,SMALL(IF("Página Web"='03.Muestra'!$D$8:$D$42,ROW('03.Muestra'!$F$8:$F$42)-MIN(ROW('03.Muestra'!$D$8:$D$42))+1,""),ROW()-626)),"")</f>
        <v>https://elecciones.comunidad.madrid/es/buzon-de-sugerencias</v>
      </c>
      <c r="D642" s="99" t="s">
        <v>184</v>
      </c>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15" customHeight="1">
      <c r="A643" s="39" cm="1">
        <f t="array" ref="A643">IFERROR(INDEX('03.Muestra'!$B$8:$B$42,SMALL(IF("Página Web"='03.Muestra'!$D$8:$D$42,ROW('03.Muestra'!$B$8:$B$42)-MIN(ROW('03.Muestra'!$D$8:$D$42))+1,""),ROW()-626)),"")</f>
        <v>17</v>
      </c>
      <c r="B643" s="85" t="str" cm="1">
        <f t="array" ref="B643">IFERROR(INDEX('03.Muestra'!$C$8:$C$42,SMALL(IF("Página Web"='03.Muestra'!$D$8:$D$42,ROW('03.Muestra'!$C$8:$C$42)-MIN(ROW('03.Muestra'!$D$8:$D$42))+1,""),ROW()-626)),"")</f>
        <v>Buscador</v>
      </c>
      <c r="C643" s="85" t="str" cm="1">
        <f t="array" ref="C643">IFERROR(INDEX('03.Muestra'!$F$8:$F$42,SMALL(IF("Página Web"='03.Muestra'!$D$8:$D$42,ROW('03.Muestra'!$F$8:$F$42)-MIN(ROW('03.Muestra'!$D$8:$D$42))+1,""),ROW()-626)),"")</f>
        <v>https://elecciones.comunidad.madrid/es/search?search_api_fulltext=partido</v>
      </c>
      <c r="D643" s="99" t="s">
        <v>184</v>
      </c>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15" customHeight="1">
      <c r="A644" s="39" cm="1">
        <f t="array" ref="A644">IFERROR(INDEX('03.Muestra'!$B$8:$B$42,SMALL(IF("Página Web"='03.Muestra'!$D$8:$D$42,ROW('03.Muestra'!$B$8:$B$42)-MIN(ROW('03.Muestra'!$D$8:$D$42))+1,""),ROW()-626)),"")</f>
        <v>18</v>
      </c>
      <c r="B644" s="85" t="str" cm="1">
        <f t="array" ref="B644">IFERROR(INDEX('03.Muestra'!$C$8:$C$42,SMALL(IF("Página Web"='03.Muestra'!$D$8:$D$42,ROW('03.Muestra'!$C$8:$C$42)-MIN(ROW('03.Muestra'!$D$8:$D$42))+1,""),ROW()-626)),"")</f>
        <v>Aviso Legal-Privacidad</v>
      </c>
      <c r="C644" s="85" t="str" cm="1">
        <f t="array" ref="C644">IFERROR(INDEX('03.Muestra'!$F$8:$F$42,SMALL(IF("Página Web"='03.Muestra'!$D$8:$D$42,ROW('03.Muestra'!$F$8:$F$42)-MIN(ROW('03.Muestra'!$D$8:$D$42))+1,""),ROW()-626)),"")</f>
        <v>https://elecciones.comunidad.madrid/es/aviso-legal</v>
      </c>
      <c r="D644" s="99" t="s">
        <v>184</v>
      </c>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15" customHeight="1">
      <c r="A645" s="39" cm="1">
        <f t="array" ref="A645">IFERROR(INDEX('03.Muestra'!$B$8:$B$42,SMALL(IF("Página Web"='03.Muestra'!$D$8:$D$42,ROW('03.Muestra'!$B$8:$B$42)-MIN(ROW('03.Muestra'!$D$8:$D$42))+1,""),ROW()-626)),"")</f>
        <v>19</v>
      </c>
      <c r="B645" s="85" t="str" cm="1">
        <f t="array" ref="B645">IFERROR(INDEX('03.Muestra'!$C$8:$C$42,SMALL(IF("Página Web"='03.Muestra'!$D$8:$D$42,ROW('03.Muestra'!$C$8:$C$42)-MIN(ROW('03.Muestra'!$D$8:$D$42))+1,""),ROW()-626)),"")</f>
        <v>Mapa Web</v>
      </c>
      <c r="C645" s="85" t="str" cm="1">
        <f t="array" ref="C645">IFERROR(INDEX('03.Muestra'!$F$8:$F$42,SMALL(IF("Página Web"='03.Muestra'!$D$8:$D$42,ROW('03.Muestra'!$F$8:$F$42)-MIN(ROW('03.Muestra'!$D$8:$D$42))+1,""),ROW()-626)),"")</f>
        <v>https://elecciones.comunidad.madrid/es/sitemap</v>
      </c>
      <c r="D645" s="99" t="s">
        <v>184</v>
      </c>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15" customHeight="1">
      <c r="A646" s="39" cm="1">
        <f t="array" ref="A646">IFERROR(INDEX('03.Muestra'!$B$8:$B$42,SMALL(IF("Página Web"='03.Muestra'!$D$8:$D$42,ROW('03.Muestra'!$B$8:$B$42)-MIN(ROW('03.Muestra'!$D$8:$D$42))+1,""),ROW()-626)),"")</f>
        <v>20</v>
      </c>
      <c r="B646" s="85" t="str" cm="1">
        <f t="array" ref="B646">IFERROR(INDEX('03.Muestra'!$C$8:$C$42,SMALL(IF("Página Web"='03.Muestra'!$D$8:$D$42,ROW('03.Muestra'!$C$8:$C$42)-MIN(ROW('03.Muestra'!$D$8:$D$42))+1,""),ROW()-626)),"")</f>
        <v>Declaracion Accesibilidad</v>
      </c>
      <c r="C646" s="85" t="str" cm="1">
        <f t="array" ref="C646">IFERROR(INDEX('03.Muestra'!$F$8:$F$42,SMALL(IF("Página Web"='03.Muestra'!$D$8:$D$42,ROW('03.Muestra'!$F$8:$F$42)-MIN(ROW('03.Muestra'!$D$8:$D$42))+1,""),ROW()-626)),"")</f>
        <v>https://elecciones.comunidad.madrid/es/accesibilidad</v>
      </c>
      <c r="D646" s="99" t="s">
        <v>184</v>
      </c>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15"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ref="D647:D661" si="33">IF(AND(B647&lt;&gt;"",C647&lt;&gt;""),"N/T","")</f>
        <v/>
      </c>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15"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15"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181</v>
      </c>
      <c r="B664" s="23" t="s">
        <v>173</v>
      </c>
      <c r="C664" s="172" t="s">
        <v>211</v>
      </c>
      <c r="D664" s="25" t="s">
        <v>183</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https://elecciones.comunidad.madrid/es</v>
      </c>
      <c r="D665" s="99" t="s">
        <v>184</v>
      </c>
      <c r="E665" s="79" t="str">
        <f t="shared" ref="E665:E699" si="34">IF(D665&lt;&gt;"",IF(AND(B665&lt;&gt;"",C665&lt;&gt;""),"","ERR"),"")</f>
        <v/>
      </c>
      <c r="F665" s="86" t="s">
        <v>185</v>
      </c>
      <c r="G665" s="87" t="s">
        <v>186</v>
      </c>
      <c r="H665" s="88" t="s">
        <v>184</v>
      </c>
      <c r="I665" s="89" t="s">
        <v>176</v>
      </c>
      <c r="J665" s="90" t="s">
        <v>174</v>
      </c>
      <c r="K665" s="181" t="s">
        <v>180</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Resultado Elecciones 28M 2023</v>
      </c>
      <c r="C666" s="85" t="str" cm="1">
        <f t="array" ref="C666">IFERROR(INDEX('03.Muestra'!$F$8:$F$42,SMALL(IF("Página Web"='03.Muestra'!$D$8:$D$42,ROW('03.Muestra'!$F$8:$F$42)-MIN(ROW('03.Muestra'!$D$8:$D$42))+1,""),ROW()-664)),"")</f>
        <v>https://elecciones.comunidad.madrid/es/resultados-elecciones-asamblea-madrid-28m-2023</v>
      </c>
      <c r="D666" s="99" t="s">
        <v>184</v>
      </c>
      <c r="E666" s="79" t="str">
        <f t="shared" si="34"/>
        <v/>
      </c>
      <c r="F666" s="91">
        <f ca="1">COUNTIF($D665:INDIRECT("$D" &amp;  SUM(ROW()-1,'03.Muestra'!$D$45)-1),F665)</f>
        <v>0</v>
      </c>
      <c r="G666" s="91">
        <f ca="1">COUNTIF($D665:INDIRECT("$D" &amp;  SUM(ROW()-1,'03.Muestra'!$D$45)-1),G665)</f>
        <v>0</v>
      </c>
      <c r="H666" s="91">
        <f ca="1">COUNTIF($D665:INDIRECT("$D" &amp;  SUM(ROW()-1,'03.Muestra'!$D$45)-1),H665)</f>
        <v>20</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Normativa electoral</v>
      </c>
      <c r="C667" s="85" t="str" cm="1">
        <f t="array" ref="C667">IFERROR(INDEX('03.Muestra'!$F$8:$F$42,SMALL(IF("Página Web"='03.Muestra'!$D$8:$D$42,ROW('03.Muestra'!$F$8:$F$42)-MIN(ROW('03.Muestra'!$D$8:$D$42))+1,""),ROW()-664)),"")</f>
        <v>https://elecciones.comunidad.madrid/es/informacion-electoral/normativa-electoral</v>
      </c>
      <c r="D667" s="99" t="s">
        <v>184</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Calendario electoral</v>
      </c>
      <c r="C668" s="85" t="str" cm="1">
        <f t="array" ref="C668">IFERROR(INDEX('03.Muestra'!$F$8:$F$42,SMALL(IF("Página Web"='03.Muestra'!$D$8:$D$42,ROW('03.Muestra'!$F$8:$F$42)-MIN(ROW('03.Muestra'!$D$8:$D$42))+1,""),ROW()-664)),"")</f>
        <v>https://elecciones.comunidad.madrid/es/informacion-electoral/calendario-electoral</v>
      </c>
      <c r="D668" s="99" t="s">
        <v>184</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Direcciones y teléfonos</v>
      </c>
      <c r="C669" s="85" t="str" cm="1">
        <f t="array" ref="C669">IFERROR(INDEX('03.Muestra'!$F$8:$F$42,SMALL(IF("Página Web"='03.Muestra'!$D$8:$D$42,ROW('03.Muestra'!$F$8:$F$42)-MIN(ROW('03.Muestra'!$D$8:$D$42))+1,""),ROW()-664)),"")</f>
        <v>https://elecciones.comunidad.madrid/es/juntas-electorales/direcciones-telefonos</v>
      </c>
      <c r="D669" s="99" t="s">
        <v>184</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Impresos electrónicos</v>
      </c>
      <c r="C670" s="85" t="str" cm="1">
        <f t="array" ref="C670">IFERROR(INDEX('03.Muestra'!$F$8:$F$42,SMALL(IF("Página Web"='03.Muestra'!$D$8:$D$42,ROW('03.Muestra'!$F$8:$F$42)-MIN(ROW('03.Muestra'!$D$8:$D$42))+1,""),ROW()-664)),"")</f>
        <v>https://elecciones.comunidad.madrid/es/formaciones-politicas/impresos-electronicos</v>
      </c>
      <c r="D670" s="99" t="s">
        <v>184</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Listado de candidaturas</v>
      </c>
      <c r="C671" s="85" t="str" cm="1">
        <f t="array" ref="C671">IFERROR(INDEX('03.Muestra'!$F$8:$F$42,SMALL(IF("Página Web"='03.Muestra'!$D$8:$D$42,ROW('03.Muestra'!$F$8:$F$42)-MIN(ROW('03.Muestra'!$D$8:$D$42))+1,""),ROW()-664)),"")</f>
        <v>https://elecciones.comunidad.madrid/es/formaciones-politicas/listado-candidaturas-proclamadas</v>
      </c>
      <c r="D671" s="99" t="s">
        <v>184</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Partido Feminista de España</v>
      </c>
      <c r="C672" s="85" t="str" cm="1">
        <f t="array" ref="C672">IFERROR(INDEX('03.Muestra'!$F$8:$F$42,SMALL(IF("Página Web"='03.Muestra'!$D$8:$D$42,ROW('03.Muestra'!$F$8:$F$42)-MIN(ROW('03.Muestra'!$D$8:$D$42))+1,""),ROW()-664)),"")</f>
        <v>https://elecciones.comunidad.madrid/es/formaciones-politicas/listado-candidaturas/partido-feminista-espana</v>
      </c>
      <c r="D672" s="99" t="s">
        <v>184</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¿Dónde voto?</v>
      </c>
      <c r="C673" s="85" t="str" cm="1">
        <f t="array" ref="C673">IFERROR(INDEX('03.Muestra'!$F$8:$F$42,SMALL(IF("Página Web"='03.Muestra'!$D$8:$D$42,ROW('03.Muestra'!$F$8:$F$42)-MIN(ROW('03.Muestra'!$D$8:$D$42))+1,""),ROW()-664)),"")</f>
        <v>https://elecciones.comunidad.madrid/es/votar/donde-voto</v>
      </c>
      <c r="D673" s="99" t="s">
        <v>184</v>
      </c>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Voto presencial</v>
      </c>
      <c r="C674" s="85" t="str" cm="1">
        <f t="array" ref="C674">IFERROR(INDEX('03.Muestra'!$F$8:$F$42,SMALL(IF("Página Web"='03.Muestra'!$D$8:$D$42,ROW('03.Muestra'!$F$8:$F$42)-MIN(ROW('03.Muestra'!$D$8:$D$42))+1,""),ROW()-664)),"")</f>
        <v>https://elecciones.comunidad.madrid/es/voto-local-electoral/voto-presencial</v>
      </c>
      <c r="D674" s="99" t="s">
        <v>184</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Ciudadanos temporalmente en el extranjero</v>
      </c>
      <c r="C675" s="85" t="str" cm="1">
        <f t="array" ref="C675">IFERROR(INDEX('03.Muestra'!$F$8:$F$42,SMALL(IF("Página Web"='03.Muestra'!$D$8:$D$42,ROW('03.Muestra'!$F$8:$F$42)-MIN(ROW('03.Muestra'!$D$8:$D$42))+1,""),ROW()-664)),"")</f>
        <v>https://elecciones.comunidad.madrid/es/voto-correo/solicitud-voto-temporalmente-ausentes</v>
      </c>
      <c r="D675" s="99" t="s">
        <v>184</v>
      </c>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Nuevo votante</v>
      </c>
      <c r="C676" s="85" t="str" cm="1">
        <f t="array" ref="C676">IFERROR(INDEX('03.Muestra'!$F$8:$F$42,SMALL(IF("Página Web"='03.Muestra'!$D$8:$D$42,ROW('03.Muestra'!$F$8:$F$42)-MIN(ROW('03.Muestra'!$D$8:$D$42))+1,""),ROW()-664)),"")</f>
        <v>https://elecciones.comunidad.madrid/es/votar/nuevo-votante</v>
      </c>
      <c r="D676" s="99" t="s">
        <v>184</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15"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Simulación método D'Hondt</v>
      </c>
      <c r="C677" s="85" t="str" cm="1">
        <f t="array" ref="C677">IFERROR(INDEX('03.Muestra'!$F$8:$F$42,SMALL(IF("Página Web"='03.Muestra'!$D$8:$D$42,ROW('03.Muestra'!$F$8:$F$42)-MIN(ROW('03.Muestra'!$D$8:$D$42))+1,""),ROW()-664)),"")</f>
        <v>https://elecciones.comunidad.madrid/es/informacion-util/simulacion-metodo-dhondt</v>
      </c>
      <c r="D677" s="99" t="s">
        <v>184</v>
      </c>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15"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Ley D'Hondt</v>
      </c>
      <c r="C678" s="85" t="str" cm="1">
        <f t="array" ref="C678">IFERROR(INDEX('03.Muestra'!$F$8:$F$42,SMALL(IF("Página Web"='03.Muestra'!$D$8:$D$42,ROW('03.Muestra'!$F$8:$F$42)-MIN(ROW('03.Muestra'!$D$8:$D$42))+1,""),ROW()-664)),"")</f>
        <v>https://elecciones.comunidad.madrid/es/resultados/ley_d_hondt</v>
      </c>
      <c r="D678" s="99" t="s">
        <v>184</v>
      </c>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15" customHeight="1">
      <c r="A679" s="39" cm="1">
        <f t="array" ref="A679">IFERROR(INDEX('03.Muestra'!$B$8:$B$42,SMALL(IF("Página Web"='03.Muestra'!$D$8:$D$42,ROW('03.Muestra'!$B$8:$B$42)-MIN(ROW('03.Muestra'!$D$8:$D$42))+1,""),ROW()-664)),"")</f>
        <v>15</v>
      </c>
      <c r="B679" s="85" t="str" cm="1">
        <f t="array" ref="B679">IFERROR(INDEX('03.Muestra'!$C$8:$C$42,SMALL(IF("Página Web"='03.Muestra'!$D$8:$D$42,ROW('03.Muestra'!$C$8:$C$42)-MIN(ROW('03.Muestra'!$D$8:$D$42))+1,""),ROW()-664)),"")</f>
        <v>Voto por correo elector CERA en España</v>
      </c>
      <c r="C679" s="85" t="str" cm="1">
        <f t="array" ref="C679">IFERROR(INDEX('03.Muestra'!$F$8:$F$42,SMALL(IF("Página Web"='03.Muestra'!$D$8:$D$42,ROW('03.Muestra'!$F$8:$F$42)-MIN(ROW('03.Muestra'!$D$8:$D$42))+1,""),ROW()-664)),"")</f>
        <v>https://elecciones.comunidad.madrid/es/preguntas-frecuentes/voto-correo-electores-residentes-extranjero</v>
      </c>
      <c r="D679" s="99" t="s">
        <v>184</v>
      </c>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15" customHeight="1">
      <c r="A680" s="39" cm="1">
        <f t="array" ref="A680">IFERROR(INDEX('03.Muestra'!$B$8:$B$42,SMALL(IF("Página Web"='03.Muestra'!$D$8:$D$42,ROW('03.Muestra'!$B$8:$B$42)-MIN(ROW('03.Muestra'!$D$8:$D$42))+1,""),ROW()-664)),"")</f>
        <v>16</v>
      </c>
      <c r="B680" s="85" t="str" cm="1">
        <f t="array" ref="B680">IFERROR(INDEX('03.Muestra'!$C$8:$C$42,SMALL(IF("Página Web"='03.Muestra'!$D$8:$D$42,ROW('03.Muestra'!$C$8:$C$42)-MIN(ROW('03.Muestra'!$D$8:$D$42))+1,""),ROW()-664)),"")</f>
        <v>Contacto</v>
      </c>
      <c r="C680" s="85" t="str" cm="1">
        <f t="array" ref="C680">IFERROR(INDEX('03.Muestra'!$F$8:$F$42,SMALL(IF("Página Web"='03.Muestra'!$D$8:$D$42,ROW('03.Muestra'!$F$8:$F$42)-MIN(ROW('03.Muestra'!$D$8:$D$42))+1,""),ROW()-664)),"")</f>
        <v>https://elecciones.comunidad.madrid/es/buzon-de-sugerencias</v>
      </c>
      <c r="D680" s="99" t="s">
        <v>184</v>
      </c>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15" customHeight="1">
      <c r="A681" s="39" cm="1">
        <f t="array" ref="A681">IFERROR(INDEX('03.Muestra'!$B$8:$B$42,SMALL(IF("Página Web"='03.Muestra'!$D$8:$D$42,ROW('03.Muestra'!$B$8:$B$42)-MIN(ROW('03.Muestra'!$D$8:$D$42))+1,""),ROW()-664)),"")</f>
        <v>17</v>
      </c>
      <c r="B681" s="85" t="str" cm="1">
        <f t="array" ref="B681">IFERROR(INDEX('03.Muestra'!$C$8:$C$42,SMALL(IF("Página Web"='03.Muestra'!$D$8:$D$42,ROW('03.Muestra'!$C$8:$C$42)-MIN(ROW('03.Muestra'!$D$8:$D$42))+1,""),ROW()-664)),"")</f>
        <v>Buscador</v>
      </c>
      <c r="C681" s="85" t="str" cm="1">
        <f t="array" ref="C681">IFERROR(INDEX('03.Muestra'!$F$8:$F$42,SMALL(IF("Página Web"='03.Muestra'!$D$8:$D$42,ROW('03.Muestra'!$F$8:$F$42)-MIN(ROW('03.Muestra'!$D$8:$D$42))+1,""),ROW()-664)),"")</f>
        <v>https://elecciones.comunidad.madrid/es/search?search_api_fulltext=partido</v>
      </c>
      <c r="D681" s="99" t="s">
        <v>184</v>
      </c>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15" customHeight="1">
      <c r="A682" s="39" cm="1">
        <f t="array" ref="A682">IFERROR(INDEX('03.Muestra'!$B$8:$B$42,SMALL(IF("Página Web"='03.Muestra'!$D$8:$D$42,ROW('03.Muestra'!$B$8:$B$42)-MIN(ROW('03.Muestra'!$D$8:$D$42))+1,""),ROW()-664)),"")</f>
        <v>18</v>
      </c>
      <c r="B682" s="85" t="str" cm="1">
        <f t="array" ref="B682">IFERROR(INDEX('03.Muestra'!$C$8:$C$42,SMALL(IF("Página Web"='03.Muestra'!$D$8:$D$42,ROW('03.Muestra'!$C$8:$C$42)-MIN(ROW('03.Muestra'!$D$8:$D$42))+1,""),ROW()-664)),"")</f>
        <v>Aviso Legal-Privacidad</v>
      </c>
      <c r="C682" s="85" t="str" cm="1">
        <f t="array" ref="C682">IFERROR(INDEX('03.Muestra'!$F$8:$F$42,SMALL(IF("Página Web"='03.Muestra'!$D$8:$D$42,ROW('03.Muestra'!$F$8:$F$42)-MIN(ROW('03.Muestra'!$D$8:$D$42))+1,""),ROW()-664)),"")</f>
        <v>https://elecciones.comunidad.madrid/es/aviso-legal</v>
      </c>
      <c r="D682" s="99" t="s">
        <v>184</v>
      </c>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15" customHeight="1">
      <c r="A683" s="39" cm="1">
        <f t="array" ref="A683">IFERROR(INDEX('03.Muestra'!$B$8:$B$42,SMALL(IF("Página Web"='03.Muestra'!$D$8:$D$42,ROW('03.Muestra'!$B$8:$B$42)-MIN(ROW('03.Muestra'!$D$8:$D$42))+1,""),ROW()-664)),"")</f>
        <v>19</v>
      </c>
      <c r="B683" s="85" t="str" cm="1">
        <f t="array" ref="B683">IFERROR(INDEX('03.Muestra'!$C$8:$C$42,SMALL(IF("Página Web"='03.Muestra'!$D$8:$D$42,ROW('03.Muestra'!$C$8:$C$42)-MIN(ROW('03.Muestra'!$D$8:$D$42))+1,""),ROW()-664)),"")</f>
        <v>Mapa Web</v>
      </c>
      <c r="C683" s="85" t="str" cm="1">
        <f t="array" ref="C683">IFERROR(INDEX('03.Muestra'!$F$8:$F$42,SMALL(IF("Página Web"='03.Muestra'!$D$8:$D$42,ROW('03.Muestra'!$F$8:$F$42)-MIN(ROW('03.Muestra'!$D$8:$D$42))+1,""),ROW()-664)),"")</f>
        <v>https://elecciones.comunidad.madrid/es/sitemap</v>
      </c>
      <c r="D683" s="99" t="s">
        <v>184</v>
      </c>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15" customHeight="1">
      <c r="A684" s="39" cm="1">
        <f t="array" ref="A684">IFERROR(INDEX('03.Muestra'!$B$8:$B$42,SMALL(IF("Página Web"='03.Muestra'!$D$8:$D$42,ROW('03.Muestra'!$B$8:$B$42)-MIN(ROW('03.Muestra'!$D$8:$D$42))+1,""),ROW()-664)),"")</f>
        <v>20</v>
      </c>
      <c r="B684" s="85" t="str" cm="1">
        <f t="array" ref="B684">IFERROR(INDEX('03.Muestra'!$C$8:$C$42,SMALL(IF("Página Web"='03.Muestra'!$D$8:$D$42,ROW('03.Muestra'!$C$8:$C$42)-MIN(ROW('03.Muestra'!$D$8:$D$42))+1,""),ROW()-664)),"")</f>
        <v>Declaracion Accesibilidad</v>
      </c>
      <c r="C684" s="85" t="str" cm="1">
        <f t="array" ref="C684">IFERROR(INDEX('03.Muestra'!$F$8:$F$42,SMALL(IF("Página Web"='03.Muestra'!$D$8:$D$42,ROW('03.Muestra'!$F$8:$F$42)-MIN(ROW('03.Muestra'!$D$8:$D$42))+1,""),ROW()-664)),"")</f>
        <v>https://elecciones.comunidad.madrid/es/accesibilidad</v>
      </c>
      <c r="D684" s="99" t="s">
        <v>184</v>
      </c>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15"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ref="D685:D699" si="35">IF(AND(B685&lt;&gt;"",C685&lt;&gt;""),"N/T","")</f>
        <v/>
      </c>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15"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15"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181</v>
      </c>
      <c r="B702" s="23" t="s">
        <v>173</v>
      </c>
      <c r="C702" s="172" t="s">
        <v>212</v>
      </c>
      <c r="D702" s="25" t="s">
        <v>183</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https://elecciones.comunidad.madrid/es</v>
      </c>
      <c r="D703" s="99" t="s">
        <v>184</v>
      </c>
      <c r="E703" s="79" t="str">
        <f t="shared" ref="E703:E737" si="36">IF(D703&lt;&gt;"",IF(AND(B703&lt;&gt;"",C703&lt;&gt;""),"","ERR"),"")</f>
        <v/>
      </c>
      <c r="F703" s="86" t="s">
        <v>185</v>
      </c>
      <c r="G703" s="87" t="s">
        <v>186</v>
      </c>
      <c r="H703" s="88" t="s">
        <v>184</v>
      </c>
      <c r="I703" s="89" t="s">
        <v>176</v>
      </c>
      <c r="J703" s="90" t="s">
        <v>174</v>
      </c>
      <c r="K703" s="181" t="s">
        <v>180</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Resultado Elecciones 28M 2023</v>
      </c>
      <c r="C704" s="85" t="str" cm="1">
        <f t="array" ref="C704">IFERROR(INDEX('03.Muestra'!$F$8:$F$42,SMALL(IF("Página Web"='03.Muestra'!$D$8:$D$42,ROW('03.Muestra'!$F$8:$F$42)-MIN(ROW('03.Muestra'!$D$8:$D$42))+1,""),ROW()-702)),"")</f>
        <v>https://elecciones.comunidad.madrid/es/resultados-elecciones-asamblea-madrid-28m-2023</v>
      </c>
      <c r="D704" s="99" t="s">
        <v>184</v>
      </c>
      <c r="E704" s="79" t="str">
        <f t="shared" si="36"/>
        <v/>
      </c>
      <c r="F704" s="91">
        <f ca="1">COUNTIF($D703:INDIRECT("$D" &amp;  SUM(ROW()-1,'03.Muestra'!$D$45)-1),F703)</f>
        <v>0</v>
      </c>
      <c r="G704" s="91">
        <f ca="1">COUNTIF($D703:INDIRECT("$D" &amp;  SUM(ROW()-1,'03.Muestra'!$D$45)-1),G703)</f>
        <v>0</v>
      </c>
      <c r="H704" s="91">
        <f ca="1">COUNTIF($D703:INDIRECT("$D" &amp;  SUM(ROW()-1,'03.Muestra'!$D$45)-1),H703)</f>
        <v>20</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Normativa electoral</v>
      </c>
      <c r="C705" s="85" t="str" cm="1">
        <f t="array" ref="C705">IFERROR(INDEX('03.Muestra'!$F$8:$F$42,SMALL(IF("Página Web"='03.Muestra'!$D$8:$D$42,ROW('03.Muestra'!$F$8:$F$42)-MIN(ROW('03.Muestra'!$D$8:$D$42))+1,""),ROW()-702)),"")</f>
        <v>https://elecciones.comunidad.madrid/es/informacion-electoral/normativa-electoral</v>
      </c>
      <c r="D705" s="99" t="s">
        <v>184</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Calendario electoral</v>
      </c>
      <c r="C706" s="85" t="str" cm="1">
        <f t="array" ref="C706">IFERROR(INDEX('03.Muestra'!$F$8:$F$42,SMALL(IF("Página Web"='03.Muestra'!$D$8:$D$42,ROW('03.Muestra'!$F$8:$F$42)-MIN(ROW('03.Muestra'!$D$8:$D$42))+1,""),ROW()-702)),"")</f>
        <v>https://elecciones.comunidad.madrid/es/informacion-electoral/calendario-electoral</v>
      </c>
      <c r="D706" s="99" t="s">
        <v>184</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Direcciones y teléfonos</v>
      </c>
      <c r="C707" s="85" t="str" cm="1">
        <f t="array" ref="C707">IFERROR(INDEX('03.Muestra'!$F$8:$F$42,SMALL(IF("Página Web"='03.Muestra'!$D$8:$D$42,ROW('03.Muestra'!$F$8:$F$42)-MIN(ROW('03.Muestra'!$D$8:$D$42))+1,""),ROW()-702)),"")</f>
        <v>https://elecciones.comunidad.madrid/es/juntas-electorales/direcciones-telefonos</v>
      </c>
      <c r="D707" s="99" t="s">
        <v>184</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Impresos electrónicos</v>
      </c>
      <c r="C708" s="85" t="str" cm="1">
        <f t="array" ref="C708">IFERROR(INDEX('03.Muestra'!$F$8:$F$42,SMALL(IF("Página Web"='03.Muestra'!$D$8:$D$42,ROW('03.Muestra'!$F$8:$F$42)-MIN(ROW('03.Muestra'!$D$8:$D$42))+1,""),ROW()-702)),"")</f>
        <v>https://elecciones.comunidad.madrid/es/formaciones-politicas/impresos-electronicos</v>
      </c>
      <c r="D708" s="99" t="s">
        <v>184</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Listado de candidaturas</v>
      </c>
      <c r="C709" s="85" t="str" cm="1">
        <f t="array" ref="C709">IFERROR(INDEX('03.Muestra'!$F$8:$F$42,SMALL(IF("Página Web"='03.Muestra'!$D$8:$D$42,ROW('03.Muestra'!$F$8:$F$42)-MIN(ROW('03.Muestra'!$D$8:$D$42))+1,""),ROW()-702)),"")</f>
        <v>https://elecciones.comunidad.madrid/es/formaciones-politicas/listado-candidaturas-proclamadas</v>
      </c>
      <c r="D709" s="99" t="s">
        <v>184</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Partido Feminista de España</v>
      </c>
      <c r="C710" s="85" t="str" cm="1">
        <f t="array" ref="C710">IFERROR(INDEX('03.Muestra'!$F$8:$F$42,SMALL(IF("Página Web"='03.Muestra'!$D$8:$D$42,ROW('03.Muestra'!$F$8:$F$42)-MIN(ROW('03.Muestra'!$D$8:$D$42))+1,""),ROW()-702)),"")</f>
        <v>https://elecciones.comunidad.madrid/es/formaciones-politicas/listado-candidaturas/partido-feminista-espana</v>
      </c>
      <c r="D710" s="99" t="s">
        <v>184</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¿Dónde voto?</v>
      </c>
      <c r="C711" s="85" t="str" cm="1">
        <f t="array" ref="C711">IFERROR(INDEX('03.Muestra'!$F$8:$F$42,SMALL(IF("Página Web"='03.Muestra'!$D$8:$D$42,ROW('03.Muestra'!$F$8:$F$42)-MIN(ROW('03.Muestra'!$D$8:$D$42))+1,""),ROW()-702)),"")</f>
        <v>https://elecciones.comunidad.madrid/es/votar/donde-voto</v>
      </c>
      <c r="D711" s="99" t="s">
        <v>184</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Voto presencial</v>
      </c>
      <c r="C712" s="85" t="str" cm="1">
        <f t="array" ref="C712">IFERROR(INDEX('03.Muestra'!$F$8:$F$42,SMALL(IF("Página Web"='03.Muestra'!$D$8:$D$42,ROW('03.Muestra'!$F$8:$F$42)-MIN(ROW('03.Muestra'!$D$8:$D$42))+1,""),ROW()-702)),"")</f>
        <v>https://elecciones.comunidad.madrid/es/voto-local-electoral/voto-presencial</v>
      </c>
      <c r="D712" s="99" t="s">
        <v>184</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Ciudadanos temporalmente en el extranjero</v>
      </c>
      <c r="C713" s="85" t="str" cm="1">
        <f t="array" ref="C713">IFERROR(INDEX('03.Muestra'!$F$8:$F$42,SMALL(IF("Página Web"='03.Muestra'!$D$8:$D$42,ROW('03.Muestra'!$F$8:$F$42)-MIN(ROW('03.Muestra'!$D$8:$D$42))+1,""),ROW()-702)),"")</f>
        <v>https://elecciones.comunidad.madrid/es/voto-correo/solicitud-voto-temporalmente-ausentes</v>
      </c>
      <c r="D713" s="99" t="s">
        <v>184</v>
      </c>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Nuevo votante</v>
      </c>
      <c r="C714" s="85" t="str" cm="1">
        <f t="array" ref="C714">IFERROR(INDEX('03.Muestra'!$F$8:$F$42,SMALL(IF("Página Web"='03.Muestra'!$D$8:$D$42,ROW('03.Muestra'!$F$8:$F$42)-MIN(ROW('03.Muestra'!$D$8:$D$42))+1,""),ROW()-702)),"")</f>
        <v>https://elecciones.comunidad.madrid/es/votar/nuevo-votante</v>
      </c>
      <c r="D714" s="99" t="s">
        <v>184</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15"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Simulación método D'Hondt</v>
      </c>
      <c r="C715" s="85" t="str" cm="1">
        <f t="array" ref="C715">IFERROR(INDEX('03.Muestra'!$F$8:$F$42,SMALL(IF("Página Web"='03.Muestra'!$D$8:$D$42,ROW('03.Muestra'!$F$8:$F$42)-MIN(ROW('03.Muestra'!$D$8:$D$42))+1,""),ROW()-702)),"")</f>
        <v>https://elecciones.comunidad.madrid/es/informacion-util/simulacion-metodo-dhondt</v>
      </c>
      <c r="D715" s="99" t="s">
        <v>184</v>
      </c>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15"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Ley D'Hondt</v>
      </c>
      <c r="C716" s="85" t="str" cm="1">
        <f t="array" ref="C716">IFERROR(INDEX('03.Muestra'!$F$8:$F$42,SMALL(IF("Página Web"='03.Muestra'!$D$8:$D$42,ROW('03.Muestra'!$F$8:$F$42)-MIN(ROW('03.Muestra'!$D$8:$D$42))+1,""),ROW()-702)),"")</f>
        <v>https://elecciones.comunidad.madrid/es/resultados/ley_d_hondt</v>
      </c>
      <c r="D716" s="99" t="s">
        <v>184</v>
      </c>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15" customHeight="1">
      <c r="A717" s="39" cm="1">
        <f t="array" ref="A717">IFERROR(INDEX('03.Muestra'!$B$8:$B$42,SMALL(IF("Página Web"='03.Muestra'!$D$8:$D$42,ROW('03.Muestra'!$B$8:$B$42)-MIN(ROW('03.Muestra'!$D$8:$D$42))+1,""),ROW()-702)),"")</f>
        <v>15</v>
      </c>
      <c r="B717" s="85" t="str" cm="1">
        <f t="array" ref="B717">IFERROR(INDEX('03.Muestra'!$C$8:$C$42,SMALL(IF("Página Web"='03.Muestra'!$D$8:$D$42,ROW('03.Muestra'!$C$8:$C$42)-MIN(ROW('03.Muestra'!$D$8:$D$42))+1,""),ROW()-702)),"")</f>
        <v>Voto por correo elector CERA en España</v>
      </c>
      <c r="C717" s="85" t="str" cm="1">
        <f t="array" ref="C717">IFERROR(INDEX('03.Muestra'!$F$8:$F$42,SMALL(IF("Página Web"='03.Muestra'!$D$8:$D$42,ROW('03.Muestra'!$F$8:$F$42)-MIN(ROW('03.Muestra'!$D$8:$D$42))+1,""),ROW()-702)),"")</f>
        <v>https://elecciones.comunidad.madrid/es/preguntas-frecuentes/voto-correo-electores-residentes-extranjero</v>
      </c>
      <c r="D717" s="99" t="s">
        <v>184</v>
      </c>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15" customHeight="1">
      <c r="A718" s="39" cm="1">
        <f t="array" ref="A718">IFERROR(INDEX('03.Muestra'!$B$8:$B$42,SMALL(IF("Página Web"='03.Muestra'!$D$8:$D$42,ROW('03.Muestra'!$B$8:$B$42)-MIN(ROW('03.Muestra'!$D$8:$D$42))+1,""),ROW()-702)),"")</f>
        <v>16</v>
      </c>
      <c r="B718" s="85" t="str" cm="1">
        <f t="array" ref="B718">IFERROR(INDEX('03.Muestra'!$C$8:$C$42,SMALL(IF("Página Web"='03.Muestra'!$D$8:$D$42,ROW('03.Muestra'!$C$8:$C$42)-MIN(ROW('03.Muestra'!$D$8:$D$42))+1,""),ROW()-702)),"")</f>
        <v>Contacto</v>
      </c>
      <c r="C718" s="85" t="str" cm="1">
        <f t="array" ref="C718">IFERROR(INDEX('03.Muestra'!$F$8:$F$42,SMALL(IF("Página Web"='03.Muestra'!$D$8:$D$42,ROW('03.Muestra'!$F$8:$F$42)-MIN(ROW('03.Muestra'!$D$8:$D$42))+1,""),ROW()-702)),"")</f>
        <v>https://elecciones.comunidad.madrid/es/buzon-de-sugerencias</v>
      </c>
      <c r="D718" s="99" t="s">
        <v>184</v>
      </c>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15" customHeight="1">
      <c r="A719" s="39" cm="1">
        <f t="array" ref="A719">IFERROR(INDEX('03.Muestra'!$B$8:$B$42,SMALL(IF("Página Web"='03.Muestra'!$D$8:$D$42,ROW('03.Muestra'!$B$8:$B$42)-MIN(ROW('03.Muestra'!$D$8:$D$42))+1,""),ROW()-702)),"")</f>
        <v>17</v>
      </c>
      <c r="B719" s="85" t="str" cm="1">
        <f t="array" ref="B719">IFERROR(INDEX('03.Muestra'!$C$8:$C$42,SMALL(IF("Página Web"='03.Muestra'!$D$8:$D$42,ROW('03.Muestra'!$C$8:$C$42)-MIN(ROW('03.Muestra'!$D$8:$D$42))+1,""),ROW()-702)),"")</f>
        <v>Buscador</v>
      </c>
      <c r="C719" s="85" t="str" cm="1">
        <f t="array" ref="C719">IFERROR(INDEX('03.Muestra'!$F$8:$F$42,SMALL(IF("Página Web"='03.Muestra'!$D$8:$D$42,ROW('03.Muestra'!$F$8:$F$42)-MIN(ROW('03.Muestra'!$D$8:$D$42))+1,""),ROW()-702)),"")</f>
        <v>https://elecciones.comunidad.madrid/es/search?search_api_fulltext=partido</v>
      </c>
      <c r="D719" s="99" t="s">
        <v>184</v>
      </c>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15" customHeight="1">
      <c r="A720" s="39" cm="1">
        <f t="array" ref="A720">IFERROR(INDEX('03.Muestra'!$B$8:$B$42,SMALL(IF("Página Web"='03.Muestra'!$D$8:$D$42,ROW('03.Muestra'!$B$8:$B$42)-MIN(ROW('03.Muestra'!$D$8:$D$42))+1,""),ROW()-702)),"")</f>
        <v>18</v>
      </c>
      <c r="B720" s="85" t="str" cm="1">
        <f t="array" ref="B720">IFERROR(INDEX('03.Muestra'!$C$8:$C$42,SMALL(IF("Página Web"='03.Muestra'!$D$8:$D$42,ROW('03.Muestra'!$C$8:$C$42)-MIN(ROW('03.Muestra'!$D$8:$D$42))+1,""),ROW()-702)),"")</f>
        <v>Aviso Legal-Privacidad</v>
      </c>
      <c r="C720" s="85" t="str" cm="1">
        <f t="array" ref="C720">IFERROR(INDEX('03.Muestra'!$F$8:$F$42,SMALL(IF("Página Web"='03.Muestra'!$D$8:$D$42,ROW('03.Muestra'!$F$8:$F$42)-MIN(ROW('03.Muestra'!$D$8:$D$42))+1,""),ROW()-702)),"")</f>
        <v>https://elecciones.comunidad.madrid/es/aviso-legal</v>
      </c>
      <c r="D720" s="99" t="s">
        <v>184</v>
      </c>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15" customHeight="1">
      <c r="A721" s="39" cm="1">
        <f t="array" ref="A721">IFERROR(INDEX('03.Muestra'!$B$8:$B$42,SMALL(IF("Página Web"='03.Muestra'!$D$8:$D$42,ROW('03.Muestra'!$B$8:$B$42)-MIN(ROW('03.Muestra'!$D$8:$D$42))+1,""),ROW()-702)),"")</f>
        <v>19</v>
      </c>
      <c r="B721" s="85" t="str" cm="1">
        <f t="array" ref="B721">IFERROR(INDEX('03.Muestra'!$C$8:$C$42,SMALL(IF("Página Web"='03.Muestra'!$D$8:$D$42,ROW('03.Muestra'!$C$8:$C$42)-MIN(ROW('03.Muestra'!$D$8:$D$42))+1,""),ROW()-702)),"")</f>
        <v>Mapa Web</v>
      </c>
      <c r="C721" s="85" t="str" cm="1">
        <f t="array" ref="C721">IFERROR(INDEX('03.Muestra'!$F$8:$F$42,SMALL(IF("Página Web"='03.Muestra'!$D$8:$D$42,ROW('03.Muestra'!$F$8:$F$42)-MIN(ROW('03.Muestra'!$D$8:$D$42))+1,""),ROW()-702)),"")</f>
        <v>https://elecciones.comunidad.madrid/es/sitemap</v>
      </c>
      <c r="D721" s="99" t="s">
        <v>184</v>
      </c>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15" customHeight="1">
      <c r="A722" s="39" cm="1">
        <f t="array" ref="A722">IFERROR(INDEX('03.Muestra'!$B$8:$B$42,SMALL(IF("Página Web"='03.Muestra'!$D$8:$D$42,ROW('03.Muestra'!$B$8:$B$42)-MIN(ROW('03.Muestra'!$D$8:$D$42))+1,""),ROW()-702)),"")</f>
        <v>20</v>
      </c>
      <c r="B722" s="85" t="str" cm="1">
        <f t="array" ref="B722">IFERROR(INDEX('03.Muestra'!$C$8:$C$42,SMALL(IF("Página Web"='03.Muestra'!$D$8:$D$42,ROW('03.Muestra'!$C$8:$C$42)-MIN(ROW('03.Muestra'!$D$8:$D$42))+1,""),ROW()-702)),"")</f>
        <v>Declaracion Accesibilidad</v>
      </c>
      <c r="C722" s="85" t="str" cm="1">
        <f t="array" ref="C722">IFERROR(INDEX('03.Muestra'!$F$8:$F$42,SMALL(IF("Página Web"='03.Muestra'!$D$8:$D$42,ROW('03.Muestra'!$F$8:$F$42)-MIN(ROW('03.Muestra'!$D$8:$D$42))+1,""),ROW()-702)),"")</f>
        <v>https://elecciones.comunidad.madrid/es/accesibilidad</v>
      </c>
      <c r="D722" s="99" t="s">
        <v>184</v>
      </c>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15"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ref="D723:D737" si="37">IF(AND(B723&lt;&gt;"",C723&lt;&gt;""),"N/T","")</f>
        <v/>
      </c>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15"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15"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D1:D8">
    <cfRule type="cellIs" dxfId="1108" priority="362" stopIfTrue="1" operator="equal">
      <formula>"-"</formula>
    </cfRule>
  </conditionalFormatting>
  <conditionalFormatting sqref="D10:D1048576">
    <cfRule type="cellIs" dxfId="1107" priority="1" stopIfTrue="1" operator="equal">
      <formula>"-"</formula>
    </cfRule>
  </conditionalFormatting>
  <conditionalFormatting sqref="D19:D53">
    <cfRule type="cellIs" dxfId="1106" priority="126" stopIfTrue="1" operator="equal">
      <formula>"N/D"</formula>
    </cfRule>
    <cfRule type="cellIs" dxfId="1105" priority="125" stopIfTrue="1" operator="equal">
      <formula>"N/T"</formula>
    </cfRule>
    <cfRule type="cellIs" dxfId="1104" priority="123" stopIfTrue="1" operator="equal">
      <formula>"Falla"</formula>
    </cfRule>
    <cfRule type="cellIs" dxfId="1103" priority="122" stopIfTrue="1" operator="equal">
      <formula>"Pasa"</formula>
    </cfRule>
    <cfRule type="expression" dxfId="1102" priority="121" stopIfTrue="1">
      <formula>ISBLANK(D19)</formula>
    </cfRule>
    <cfRule type="cellIs" dxfId="1101" priority="124" stopIfTrue="1" operator="equal">
      <formula>"N/A"</formula>
    </cfRule>
  </conditionalFormatting>
  <conditionalFormatting sqref="D57:D92">
    <cfRule type="cellIs" dxfId="1100" priority="112" stopIfTrue="1" operator="equal">
      <formula>"N/D"</formula>
    </cfRule>
    <cfRule type="expression" dxfId="1099" priority="107" stopIfTrue="1">
      <formula>ISBLANK(D57)</formula>
    </cfRule>
    <cfRule type="cellIs" dxfId="1098" priority="111" stopIfTrue="1" operator="equal">
      <formula>"N/T"</formula>
    </cfRule>
    <cfRule type="cellIs" dxfId="1097" priority="110" stopIfTrue="1" operator="equal">
      <formula>"N/A"</formula>
    </cfRule>
    <cfRule type="cellIs" dxfId="1096" priority="109" stopIfTrue="1" operator="equal">
      <formula>"Falla"</formula>
    </cfRule>
    <cfRule type="cellIs" dxfId="1095" priority="108" stopIfTrue="1" operator="equal">
      <formula>"Pasa"</formula>
    </cfRule>
  </conditionalFormatting>
  <conditionalFormatting sqref="D95:D130">
    <cfRule type="cellIs" dxfId="1094" priority="94" stopIfTrue="1" operator="equal">
      <formula>"Pasa"</formula>
    </cfRule>
    <cfRule type="cellIs" dxfId="1093" priority="95" stopIfTrue="1" operator="equal">
      <formula>"Falla"</formula>
    </cfRule>
    <cfRule type="cellIs" dxfId="1092" priority="96" stopIfTrue="1" operator="equal">
      <formula>"N/A"</formula>
    </cfRule>
    <cfRule type="cellIs" dxfId="1091" priority="97" stopIfTrue="1" operator="equal">
      <formula>"N/T"</formula>
    </cfRule>
    <cfRule type="cellIs" dxfId="1090" priority="98" stopIfTrue="1" operator="equal">
      <formula>"N/D"</formula>
    </cfRule>
    <cfRule type="expression" dxfId="1089" priority="93" stopIfTrue="1">
      <formula>ISBLANK(D95)</formula>
    </cfRule>
  </conditionalFormatting>
  <conditionalFormatting sqref="D133:D168">
    <cfRule type="cellIs" dxfId="1088" priority="68" stopIfTrue="1" operator="equal">
      <formula>"N/A"</formula>
    </cfRule>
    <cfRule type="expression" dxfId="1087" priority="65" stopIfTrue="1">
      <formula>ISBLANK(D133)</formula>
    </cfRule>
    <cfRule type="cellIs" dxfId="1086" priority="66" stopIfTrue="1" operator="equal">
      <formula>"Pasa"</formula>
    </cfRule>
    <cfRule type="cellIs" dxfId="1085" priority="67" stopIfTrue="1" operator="equal">
      <formula>"Falla"</formula>
    </cfRule>
    <cfRule type="cellIs" dxfId="1084" priority="69" stopIfTrue="1" operator="equal">
      <formula>"N/T"</formula>
    </cfRule>
    <cfRule type="cellIs" dxfId="1083" priority="70" stopIfTrue="1" operator="equal">
      <formula>"N/D"</formula>
    </cfRule>
  </conditionalFormatting>
  <conditionalFormatting sqref="D171:D205">
    <cfRule type="expression" dxfId="1082" priority="51" stopIfTrue="1">
      <formula>ISBLANK(D171)</formula>
    </cfRule>
    <cfRule type="cellIs" dxfId="1081" priority="52" stopIfTrue="1" operator="equal">
      <formula>"Pasa"</formula>
    </cfRule>
    <cfRule type="cellIs" dxfId="1080" priority="53" stopIfTrue="1" operator="equal">
      <formula>"Falla"</formula>
    </cfRule>
    <cfRule type="cellIs" dxfId="1079" priority="54" stopIfTrue="1" operator="equal">
      <formula>"N/A"</formula>
    </cfRule>
    <cfRule type="cellIs" dxfId="1078" priority="55" stopIfTrue="1" operator="equal">
      <formula>"N/T"</formula>
    </cfRule>
    <cfRule type="cellIs" dxfId="1077" priority="56" stopIfTrue="1" operator="equal">
      <formula>"N/D"</formula>
    </cfRule>
  </conditionalFormatting>
  <conditionalFormatting sqref="D209:D243">
    <cfRule type="cellIs" dxfId="1076" priority="31" stopIfTrue="1" operator="equal">
      <formula>"Pasa"</formula>
    </cfRule>
    <cfRule type="expression" dxfId="1075" priority="30" stopIfTrue="1">
      <formula>ISBLANK(D209)</formula>
    </cfRule>
    <cfRule type="cellIs" dxfId="1074" priority="32" stopIfTrue="1" operator="equal">
      <formula>"Falla"</formula>
    </cfRule>
    <cfRule type="cellIs" dxfId="1073" priority="33" stopIfTrue="1" operator="equal">
      <formula>"N/A"</formula>
    </cfRule>
    <cfRule type="cellIs" dxfId="1072" priority="34" stopIfTrue="1" operator="equal">
      <formula>"N/T"</formula>
    </cfRule>
    <cfRule type="cellIs" dxfId="1071" priority="35" stopIfTrue="1" operator="equal">
      <formula>"N/D"</formula>
    </cfRule>
  </conditionalFormatting>
  <conditionalFormatting sqref="D247:D281">
    <cfRule type="cellIs" dxfId="1070" priority="21" stopIfTrue="1" operator="equal">
      <formula>"N/D"</formula>
    </cfRule>
    <cfRule type="cellIs" dxfId="1069" priority="20" stopIfTrue="1" operator="equal">
      <formula>"N/T"</formula>
    </cfRule>
    <cfRule type="cellIs" dxfId="1068" priority="19" stopIfTrue="1" operator="equal">
      <formula>"N/A"</formula>
    </cfRule>
    <cfRule type="cellIs" dxfId="1067" priority="17" stopIfTrue="1" operator="equal">
      <formula>"Pasa"</formula>
    </cfRule>
    <cfRule type="expression" dxfId="1066" priority="16" stopIfTrue="1">
      <formula>ISBLANK(D247)</formula>
    </cfRule>
    <cfRule type="cellIs" dxfId="1065" priority="18" stopIfTrue="1" operator="equal">
      <formula>"Falla"</formula>
    </cfRule>
  </conditionalFormatting>
  <conditionalFormatting sqref="D285:D319">
    <cfRule type="expression" dxfId="1064" priority="2" stopIfTrue="1">
      <formula>ISBLANK(D285)</formula>
    </cfRule>
    <cfRule type="cellIs" dxfId="1063" priority="7" stopIfTrue="1" operator="equal">
      <formula>"N/D"</formula>
    </cfRule>
    <cfRule type="cellIs" dxfId="1062" priority="6" stopIfTrue="1" operator="equal">
      <formula>"N/T"</formula>
    </cfRule>
    <cfRule type="cellIs" dxfId="1061" priority="5" stopIfTrue="1" operator="equal">
      <formula>"N/A"</formula>
    </cfRule>
    <cfRule type="cellIs" dxfId="1060" priority="4" stopIfTrue="1" operator="equal">
      <formula>"Falla"</formula>
    </cfRule>
    <cfRule type="cellIs" dxfId="1059" priority="3" stopIfTrue="1" operator="equal">
      <formula>"Pasa"</formula>
    </cfRule>
  </conditionalFormatting>
  <conditionalFormatting sqref="D323:D357">
    <cfRule type="cellIs" dxfId="1058" priority="272" stopIfTrue="1" operator="equal">
      <formula>"N/D"</formula>
    </cfRule>
    <cfRule type="cellIs" dxfId="1057" priority="271" stopIfTrue="1" operator="equal">
      <formula>"N/T"</formula>
    </cfRule>
    <cfRule type="cellIs" dxfId="1056" priority="270" stopIfTrue="1" operator="equal">
      <formula>"N/A"</formula>
    </cfRule>
    <cfRule type="cellIs" dxfId="1055" priority="269" stopIfTrue="1" operator="equal">
      <formula>"Falla"</formula>
    </cfRule>
    <cfRule type="cellIs" dxfId="1054" priority="268" stopIfTrue="1" operator="equal">
      <formula>"Pasa"</formula>
    </cfRule>
    <cfRule type="expression" dxfId="1053" priority="267" stopIfTrue="1">
      <formula>ISBLANK(D323)</formula>
    </cfRule>
  </conditionalFormatting>
  <conditionalFormatting sqref="D361:D395">
    <cfRule type="cellIs" dxfId="1052" priority="256" stopIfTrue="1" operator="equal">
      <formula>"N/T"</formula>
    </cfRule>
    <cfRule type="expression" dxfId="1051" priority="252" stopIfTrue="1">
      <formula>ISBLANK(D361)</formula>
    </cfRule>
    <cfRule type="cellIs" dxfId="1050" priority="253" stopIfTrue="1" operator="equal">
      <formula>"Pasa"</formula>
    </cfRule>
    <cfRule type="cellIs" dxfId="1049" priority="254" stopIfTrue="1" operator="equal">
      <formula>"Falla"</formula>
    </cfRule>
    <cfRule type="cellIs" dxfId="1048" priority="255" stopIfTrue="1" operator="equal">
      <formula>"N/A"</formula>
    </cfRule>
    <cfRule type="cellIs" dxfId="1047" priority="257" stopIfTrue="1" operator="equal">
      <formula>"N/D"</formula>
    </cfRule>
  </conditionalFormatting>
  <conditionalFormatting sqref="D399:D433">
    <cfRule type="cellIs" dxfId="1046" priority="241" stopIfTrue="1" operator="equal">
      <formula>"N/T"</formula>
    </cfRule>
    <cfRule type="cellIs" dxfId="1045" priority="242" stopIfTrue="1" operator="equal">
      <formula>"N/D"</formula>
    </cfRule>
    <cfRule type="expression" dxfId="1044" priority="237" stopIfTrue="1">
      <formula>ISBLANK(D399)</formula>
    </cfRule>
    <cfRule type="cellIs" dxfId="1043" priority="238" stopIfTrue="1" operator="equal">
      <formula>"Pasa"</formula>
    </cfRule>
    <cfRule type="cellIs" dxfId="1042" priority="239" stopIfTrue="1" operator="equal">
      <formula>"Falla"</formula>
    </cfRule>
    <cfRule type="cellIs" dxfId="1041" priority="240" stopIfTrue="1" operator="equal">
      <formula>"N/A"</formula>
    </cfRule>
  </conditionalFormatting>
  <conditionalFormatting sqref="D437:D471 D475:D509 D551:D585 D589:D623 F19:J19 F57:J57 F95:J95 F133:J133 F171:J171 F209:J209 F247:J247 F285:J285 F323:J323 F361:J361 F399:J399 F437:J437 F475:J475 F513:J513 F551:J551 F589:J589 F627:J627 F665:J665 F703:J703">
    <cfRule type="expression" dxfId="1040" priority="477" stopIfTrue="1">
      <formula>ISBLANK(D19)</formula>
    </cfRule>
  </conditionalFormatting>
  <conditionalFormatting sqref="D513:D547">
    <cfRule type="expression" dxfId="1039" priority="223" stopIfTrue="1">
      <formula>ISBLANK(D513)</formula>
    </cfRule>
    <cfRule type="cellIs" dxfId="1038" priority="224" stopIfTrue="1" operator="equal">
      <formula>"Pasa"</formula>
    </cfRule>
    <cfRule type="cellIs" dxfId="1037" priority="226" stopIfTrue="1" operator="equal">
      <formula>"N/A"</formula>
    </cfRule>
    <cfRule type="cellIs" dxfId="1036" priority="227" stopIfTrue="1" operator="equal">
      <formula>"N/T"</formula>
    </cfRule>
    <cfRule type="cellIs" dxfId="1035" priority="228" stopIfTrue="1" operator="equal">
      <formula>"N/D"</formula>
    </cfRule>
    <cfRule type="cellIs" dxfId="1034" priority="225" stopIfTrue="1" operator="equal">
      <formula>"Falla"</formula>
    </cfRule>
  </conditionalFormatting>
  <conditionalFormatting sqref="D627:D661">
    <cfRule type="cellIs" dxfId="1033" priority="184" stopIfTrue="1" operator="equal">
      <formula>"N/A"</formula>
    </cfRule>
    <cfRule type="cellIs" dxfId="1032" priority="186" stopIfTrue="1" operator="equal">
      <formula>"N/D"</formula>
    </cfRule>
    <cfRule type="cellIs" dxfId="1031" priority="185" stopIfTrue="1" operator="equal">
      <formula>"N/T"</formula>
    </cfRule>
    <cfRule type="expression" dxfId="1030" priority="181" stopIfTrue="1">
      <formula>ISBLANK(D627)</formula>
    </cfRule>
    <cfRule type="cellIs" dxfId="1029" priority="182" stopIfTrue="1" operator="equal">
      <formula>"Pasa"</formula>
    </cfRule>
    <cfRule type="cellIs" dxfId="1028" priority="183" stopIfTrue="1" operator="equal">
      <formula>"Falla"</formula>
    </cfRule>
  </conditionalFormatting>
  <conditionalFormatting sqref="D665:D699">
    <cfRule type="cellIs" dxfId="1027" priority="170" stopIfTrue="1" operator="equal">
      <formula>"N/A"</formula>
    </cfRule>
    <cfRule type="cellIs" dxfId="1026" priority="171" stopIfTrue="1" operator="equal">
      <formula>"N/T"</formula>
    </cfRule>
    <cfRule type="cellIs" dxfId="1025" priority="172" stopIfTrue="1" operator="equal">
      <formula>"N/D"</formula>
    </cfRule>
    <cfRule type="expression" dxfId="1024" priority="167" stopIfTrue="1">
      <formula>ISBLANK(D665)</formula>
    </cfRule>
    <cfRule type="cellIs" dxfId="1023" priority="168" stopIfTrue="1" operator="equal">
      <formula>"Pasa"</formula>
    </cfRule>
    <cfRule type="cellIs" dxfId="1022" priority="169" stopIfTrue="1" operator="equal">
      <formula>"Falla"</formula>
    </cfRule>
  </conditionalFormatting>
  <conditionalFormatting sqref="D703:D737">
    <cfRule type="cellIs" dxfId="1021" priority="154" stopIfTrue="1" operator="equal">
      <formula>"Pasa"</formula>
    </cfRule>
    <cfRule type="cellIs" dxfId="1020" priority="155" stopIfTrue="1" operator="equal">
      <formula>"Falla"</formula>
    </cfRule>
    <cfRule type="cellIs" dxfId="1019" priority="158" stopIfTrue="1" operator="equal">
      <formula>"N/D"</formula>
    </cfRule>
    <cfRule type="cellIs" dxfId="1018" priority="156" stopIfTrue="1" operator="equal">
      <formula>"N/A"</formula>
    </cfRule>
    <cfRule type="cellIs" dxfId="1017" priority="157" stopIfTrue="1" operator="equal">
      <formula>"N/T"</formula>
    </cfRule>
    <cfRule type="expression" dxfId="1016" priority="153" stopIfTrue="1">
      <formula>ISBLANK(D703)</formula>
    </cfRule>
  </conditionalFormatting>
  <conditionalFormatting sqref="E19:E53 E57:E92 E437:E471 E475:E509 E551:E585 E589:E623">
    <cfRule type="cellIs" dxfId="1015" priority="483" stopIfTrue="1" operator="equal">
      <formula>"ERR"</formula>
    </cfRule>
  </conditionalFormatting>
  <conditionalFormatting sqref="E95:E130">
    <cfRule type="cellIs" dxfId="1014" priority="361" stopIfTrue="1" operator="equal">
      <formula>"ERR"</formula>
    </cfRule>
  </conditionalFormatting>
  <conditionalFormatting sqref="E133:E168">
    <cfRule type="cellIs" dxfId="1013" priority="347" stopIfTrue="1" operator="equal">
      <formula>"ERR"</formula>
    </cfRule>
  </conditionalFormatting>
  <conditionalFormatting sqref="E171:E205">
    <cfRule type="cellIs" dxfId="1012" priority="333" stopIfTrue="1" operator="equal">
      <formula>"ERR"</formula>
    </cfRule>
  </conditionalFormatting>
  <conditionalFormatting sqref="E209:E243">
    <cfRule type="cellIs" dxfId="1011" priority="318" stopIfTrue="1" operator="equal">
      <formula>"ERR"</formula>
    </cfRule>
  </conditionalFormatting>
  <conditionalFormatting sqref="E247:E281">
    <cfRule type="cellIs" dxfId="1010" priority="303" stopIfTrue="1" operator="equal">
      <formula>"ERR"</formula>
    </cfRule>
  </conditionalFormatting>
  <conditionalFormatting sqref="E285:E319">
    <cfRule type="cellIs" dxfId="1009" priority="288" stopIfTrue="1" operator="equal">
      <formula>"ERR"</formula>
    </cfRule>
  </conditionalFormatting>
  <conditionalFormatting sqref="E323:E357">
    <cfRule type="cellIs" dxfId="1008" priority="273" stopIfTrue="1" operator="equal">
      <formula>"ERR"</formula>
    </cfRule>
  </conditionalFormatting>
  <conditionalFormatting sqref="E361:E395">
    <cfRule type="cellIs" dxfId="1007" priority="258" stopIfTrue="1" operator="equal">
      <formula>"ERR"</formula>
    </cfRule>
  </conditionalFormatting>
  <conditionalFormatting sqref="E399:E433">
    <cfRule type="cellIs" dxfId="1006" priority="243" stopIfTrue="1" operator="equal">
      <formula>"ERR"</formula>
    </cfRule>
  </conditionalFormatting>
  <conditionalFormatting sqref="E513:E547">
    <cfRule type="cellIs" dxfId="1005" priority="229" stopIfTrue="1" operator="equal">
      <formula>"ERR"</formula>
    </cfRule>
  </conditionalFormatting>
  <conditionalFormatting sqref="E627:E661">
    <cfRule type="cellIs" dxfId="1004" priority="187" stopIfTrue="1" operator="equal">
      <formula>"ERR"</formula>
    </cfRule>
  </conditionalFormatting>
  <conditionalFormatting sqref="E665:E699">
    <cfRule type="cellIs" dxfId="1003" priority="173" stopIfTrue="1" operator="equal">
      <formula>"ERR"</formula>
    </cfRule>
  </conditionalFormatting>
  <conditionalFormatting sqref="E703:E737">
    <cfRule type="cellIs" dxfId="1002" priority="159" stopIfTrue="1" operator="equal">
      <formula>"ERR"</formula>
    </cfRule>
  </conditionalFormatting>
  <conditionalFormatting sqref="F19:J19 F57:J57 F95:J95 F133:J133 F171:J171 F209:J209 F247:J247 F285:J285 F323:J323 F361:J361 F399:J399 F437:J437 D437:D471 F475:J475 D475:D509 F513:J513 F551:J551 D551:D585 F589:J589 D589:D623 F627:J627 F665:J665 F703:J703">
    <cfRule type="cellIs" dxfId="1001" priority="478" stopIfTrue="1" operator="equal">
      <formula>"Pasa"</formula>
    </cfRule>
    <cfRule type="cellIs" dxfId="1000" priority="479" stopIfTrue="1" operator="equal">
      <formula>"Falla"</formula>
    </cfRule>
    <cfRule type="cellIs" dxfId="999" priority="480" stopIfTrue="1" operator="equal">
      <formula>"N/A"</formula>
    </cfRule>
    <cfRule type="cellIs" dxfId="998" priority="481" stopIfTrue="1" operator="equal">
      <formula>"N/T"</formula>
    </cfRule>
    <cfRule type="cellIs" dxfId="997" priority="482" stopIfTrue="1" operator="equal">
      <formula>"N/D"</formula>
    </cfRule>
  </conditionalFormatting>
  <conditionalFormatting sqref="K23:K24">
    <cfRule type="cellIs" dxfId="996" priority="137" stopIfTrue="1" operator="equal">
      <formula>"N/A"</formula>
    </cfRule>
    <cfRule type="expression" dxfId="995" priority="134" stopIfTrue="1">
      <formula>ISBLANK(K23)</formula>
    </cfRule>
    <cfRule type="cellIs" dxfId="994" priority="135" stopIfTrue="1" operator="equal">
      <formula>"Pasa"</formula>
    </cfRule>
    <cfRule type="cellIs" dxfId="993" priority="136" stopIfTrue="1" operator="equal">
      <formula>"Falla"</formula>
    </cfRule>
    <cfRule type="cellIs" dxfId="992" priority="139" stopIfTrue="1" operator="equal">
      <formula>"N/D"</formula>
    </cfRule>
    <cfRule type="cellIs" dxfId="991" priority="138"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zoomScale="80" zoomScaleNormal="80" workbookViewId="0">
      <selection activeCell="D323" sqref="D323:D342"/>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165</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1"/>
      <c r="C6" s="121"/>
      <c r="D6" s="121"/>
      <c r="E6" s="122"/>
      <c r="F6" s="121"/>
      <c r="G6" s="121"/>
      <c r="H6" s="121"/>
      <c r="I6" s="121"/>
      <c r="J6" s="121"/>
      <c r="K6" s="121"/>
      <c r="L6" s="121"/>
      <c r="M6" s="121"/>
      <c r="N6" s="18"/>
      <c r="O6" s="18"/>
    </row>
    <row r="7" spans="1:64" ht="12.65" customHeight="1">
      <c r="B7" s="18"/>
      <c r="C7" s="18"/>
      <c r="D7" s="18"/>
      <c r="E7" s="79"/>
      <c r="F7" s="18"/>
      <c r="G7" s="18"/>
      <c r="H7" s="18"/>
      <c r="I7" s="18"/>
      <c r="J7" s="18"/>
      <c r="K7" s="18"/>
      <c r="L7" s="18"/>
      <c r="M7" s="18"/>
      <c r="N7" s="18"/>
      <c r="O7" s="18"/>
    </row>
    <row r="8" spans="1:64" ht="21" customHeight="1">
      <c r="B8" s="82" t="s">
        <v>213</v>
      </c>
      <c r="C8" s="18"/>
      <c r="D8" s="79"/>
      <c r="E8" s="79"/>
      <c r="F8" s="18"/>
      <c r="G8" s="18"/>
      <c r="H8" s="18"/>
      <c r="I8" s="18"/>
      <c r="J8" s="18"/>
      <c r="K8" s="18"/>
      <c r="L8" s="18"/>
      <c r="M8" s="18"/>
      <c r="N8" s="18"/>
      <c r="O8" s="18"/>
    </row>
    <row r="9" spans="1:64" ht="30" customHeight="1">
      <c r="B9" s="231" t="s">
        <v>167</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168</v>
      </c>
      <c r="C11" s="230"/>
      <c r="D11" s="26"/>
      <c r="E11" s="14"/>
      <c r="F11" s="196" t="s">
        <v>169</v>
      </c>
      <c r="G11" s="105" t="s">
        <v>170</v>
      </c>
      <c r="H11" s="197" t="s">
        <v>171</v>
      </c>
      <c r="I11" s="22"/>
      <c r="J11" s="196" t="s">
        <v>172</v>
      </c>
      <c r="K11" s="105" t="s">
        <v>170</v>
      </c>
      <c r="L11" s="197" t="s">
        <v>171</v>
      </c>
      <c r="M11" s="18"/>
      <c r="N11" s="18"/>
      <c r="O11" s="18"/>
      <c r="P11" s="18"/>
      <c r="Q11" s="18"/>
      <c r="R11" s="18"/>
      <c r="U11" s="18"/>
      <c r="V11" s="18"/>
      <c r="W11" s="18"/>
      <c r="X11" s="18"/>
      <c r="Y11" s="18"/>
    </row>
    <row r="12" spans="1:64" ht="12" customHeight="1">
      <c r="B12" s="108" t="s">
        <v>173</v>
      </c>
      <c r="C12" s="198">
        <f>COUNTIF($B$18:$B$4076,B12)</f>
        <v>9</v>
      </c>
      <c r="D12" s="26"/>
      <c r="E12" s="14"/>
      <c r="F12" s="199" t="s">
        <v>174</v>
      </c>
      <c r="G12" s="72">
        <f ca="1">J20+J58+J96+J134+J172+J210+J248+J286+J324</f>
        <v>6</v>
      </c>
      <c r="H12" s="42">
        <f ca="1">IF(($G$15+$K$15)=0,0,G12/($G$15+$K$15))</f>
        <v>3.3333333333333333E-2</v>
      </c>
      <c r="I12" s="26"/>
      <c r="J12" s="183" t="s">
        <v>175</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176</v>
      </c>
      <c r="G13" s="72">
        <f ca="1">I20+I58+I96+I134+I172+I210+I248+I286+I324</f>
        <v>9</v>
      </c>
      <c r="H13" s="42">
        <f ca="1">IF(($G$15+$K$15)=0,0,G13/($G$15+$K$15))</f>
        <v>0.05</v>
      </c>
      <c r="I13" s="26"/>
      <c r="J13" s="183" t="s">
        <v>177</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178</v>
      </c>
      <c r="C14" s="201">
        <f>C12+C13</f>
        <v>9</v>
      </c>
      <c r="D14" s="26"/>
      <c r="E14" s="14"/>
      <c r="F14" s="199" t="s">
        <v>179</v>
      </c>
      <c r="G14" s="72">
        <f ca="1">H20+H58+H96+H134+H172+H210+H248+H286+H324</f>
        <v>165</v>
      </c>
      <c r="H14" s="42">
        <f ca="1">IF(($G$15+$K$15)=0,0,G14/($G$15+$K$15))</f>
        <v>0.91666666666666663</v>
      </c>
      <c r="I14" s="26"/>
      <c r="J14" s="183" t="s">
        <v>180</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178</v>
      </c>
      <c r="G15" s="203">
        <f ca="1">SUM(G12:G14)</f>
        <v>180</v>
      </c>
      <c r="H15" s="204">
        <f ca="1">SUM(H12:H14)</f>
        <v>1</v>
      </c>
      <c r="I15" s="26"/>
      <c r="J15" s="200" t="s">
        <v>178</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181</v>
      </c>
      <c r="B18" s="23" t="s">
        <v>173</v>
      </c>
      <c r="C18" s="24" t="s">
        <v>214</v>
      </c>
      <c r="D18" s="25" t="s">
        <v>183</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https://elecciones.comunidad.madrid/es</v>
      </c>
      <c r="D19" s="99" t="s">
        <v>176</v>
      </c>
      <c r="E19" s="79" t="str">
        <f t="shared" ref="E19:E53" si="0">IF(D19&lt;&gt;"",IF(AND(B19&lt;&gt;"",C19&lt;&gt;""),"","ERR"),"")</f>
        <v/>
      </c>
      <c r="F19" s="86" t="s">
        <v>185</v>
      </c>
      <c r="G19" s="87" t="s">
        <v>186</v>
      </c>
      <c r="H19" s="88" t="s">
        <v>184</v>
      </c>
      <c r="I19" s="89" t="s">
        <v>176</v>
      </c>
      <c r="J19" s="90" t="s">
        <v>174</v>
      </c>
      <c r="K19" s="179" t="s">
        <v>180</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Resultado Elecciones 28M 2023</v>
      </c>
      <c r="C20" s="85" t="str" cm="1">
        <f t="array" ref="C20">IFERROR(INDEX('03.Muestra'!$F$8:$F$42,SMALL(IF("Página Web"='03.Muestra'!$D$8:$D$42,ROW('03.Muestra'!$F$8:$F$42)-MIN(ROW('03.Muestra'!$D$8:$D$42))+1,""),ROW()-18)),"")</f>
        <v>https://elecciones.comunidad.madrid/es/resultados-elecciones-asamblea-madrid-28m-2023</v>
      </c>
      <c r="D20" s="99" t="s">
        <v>184</v>
      </c>
      <c r="E20" s="79" t="str">
        <f t="shared" si="0"/>
        <v/>
      </c>
      <c r="F20" s="91">
        <f ca="1">COUNTIF($D19:INDIRECT("$D" &amp;  SUM(ROW()-1,'03.Muestra'!$D$45)-1),F19)</f>
        <v>0</v>
      </c>
      <c r="G20" s="91">
        <f ca="1">COUNTIF($D19:INDIRECT("$D" &amp;  SUM(ROW()-1,'03.Muestra'!$D$45)-1),G19)</f>
        <v>0</v>
      </c>
      <c r="H20" s="91">
        <f ca="1">COUNTIF($D19:INDIRECT("$D" &amp;  SUM(ROW()-1,'03.Muestra'!$D$45)-1),H19)</f>
        <v>16</v>
      </c>
      <c r="I20" s="91">
        <f ca="1">COUNTIF($D19:INDIRECT("$D" &amp;  SUM(ROW()-1,'03.Muestra'!$D$45)-1),I19)</f>
        <v>1</v>
      </c>
      <c r="J20" s="91">
        <f ca="1">COUNTIF($D19:INDIRECT("$D" &amp;  SUM(ROW()-1,'03.Muestra'!$D$45)-1),J19)</f>
        <v>3</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Normativa electoral</v>
      </c>
      <c r="C21" s="85" t="str" cm="1">
        <f t="array" ref="C21">IFERROR(INDEX('03.Muestra'!$F$8:$F$42,SMALL(IF("Página Web"='03.Muestra'!$D$8:$D$42,ROW('03.Muestra'!$F$8:$F$42)-MIN(ROW('03.Muestra'!$D$8:$D$42))+1,""),ROW()-18)),"")</f>
        <v>https://elecciones.comunidad.madrid/es/informacion-electoral/normativa-electoral</v>
      </c>
      <c r="D21" s="99" t="s">
        <v>184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Calendario electoral</v>
      </c>
      <c r="C22" s="85" t="str" cm="1">
        <f t="array" ref="C22">IFERROR(INDEX('03.Muestra'!$F$8:$F$42,SMALL(IF("Página Web"='03.Muestra'!$D$8:$D$42,ROW('03.Muestra'!$F$8:$F$42)-MIN(ROW('03.Muestra'!$D$8:$D$42))+1,""),ROW()-18)),"")</f>
        <v>https://elecciones.comunidad.madrid/es/informacion-electoral/calendario-electoral</v>
      </c>
      <c r="D22" s="99" t="s">
        <v>184</v>
      </c>
      <c r="E22" s="79" t="str">
        <f t="shared" si="0"/>
        <v/>
      </c>
      <c r="F22" s="18"/>
      <c r="G22" s="18"/>
      <c r="H22" s="18"/>
      <c r="I22" s="18"/>
      <c r="K22" s="170" t="s">
        <v>185</v>
      </c>
      <c r="L22" s="92" t="s">
        <v>187</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Direcciones y teléfonos</v>
      </c>
      <c r="C23" s="85" t="str" cm="1">
        <f t="array" ref="C23">IFERROR(INDEX('03.Muestra'!$F$8:$F$42,SMALL(IF("Página Web"='03.Muestra'!$D$8:$D$42,ROW('03.Muestra'!$F$8:$F$42)-MIN(ROW('03.Muestra'!$D$8:$D$42))+1,""),ROW()-18)),"")</f>
        <v>https://elecciones.comunidad.madrid/es/juntas-electorales/direcciones-telefonos</v>
      </c>
      <c r="D23" s="99" t="s">
        <v>184</v>
      </c>
      <c r="E23" s="79" t="str">
        <f t="shared" si="0"/>
        <v/>
      </c>
      <c r="F23" s="78"/>
      <c r="G23" s="18"/>
      <c r="H23" s="18"/>
      <c r="I23" s="18"/>
      <c r="K23" s="88" t="s">
        <v>184</v>
      </c>
      <c r="L23" s="92" t="s">
        <v>188</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Impresos electrónicos</v>
      </c>
      <c r="C24" s="85" t="str" cm="1">
        <f t="array" ref="C24">IFERROR(INDEX('03.Muestra'!$F$8:$F$42,SMALL(IF("Página Web"='03.Muestra'!$D$8:$D$42,ROW('03.Muestra'!$F$8:$F$42)-MIN(ROW('03.Muestra'!$D$8:$D$42))+1,""),ROW()-18)),"")</f>
        <v>https://elecciones.comunidad.madrid/es/formaciones-politicas/impresos-electronicos</v>
      </c>
      <c r="D24" s="99" t="s">
        <v>184</v>
      </c>
      <c r="E24" s="79" t="str">
        <f t="shared" si="0"/>
        <v/>
      </c>
      <c r="F24" s="18"/>
      <c r="G24" s="18"/>
      <c r="H24" s="18"/>
      <c r="I24" s="18"/>
      <c r="K24" s="87" t="s">
        <v>186</v>
      </c>
      <c r="L24" s="92" t="s">
        <v>189</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Listado de candidaturas</v>
      </c>
      <c r="C25" s="85" t="str" cm="1">
        <f t="array" ref="C25">IFERROR(INDEX('03.Muestra'!$F$8:$F$42,SMALL(IF("Página Web"='03.Muestra'!$D$8:$D$42,ROW('03.Muestra'!$F$8:$F$42)-MIN(ROW('03.Muestra'!$D$8:$D$42))+1,""),ROW()-18)),"")</f>
        <v>https://elecciones.comunidad.madrid/es/formaciones-politicas/listado-candidaturas-proclamadas</v>
      </c>
      <c r="D25" s="99" t="s">
        <v>184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Partido Feminista de España</v>
      </c>
      <c r="C26" s="85" t="str" cm="1">
        <f t="array" ref="C26">IFERROR(INDEX('03.Muestra'!$F$8:$F$42,SMALL(IF("Página Web"='03.Muestra'!$D$8:$D$42,ROW('03.Muestra'!$F$8:$F$42)-MIN(ROW('03.Muestra'!$D$8:$D$42))+1,""),ROW()-18)),"")</f>
        <v>https://elecciones.comunidad.madrid/es/formaciones-politicas/listado-candidaturas/partido-feminista-espana</v>
      </c>
      <c r="D26" s="99" t="s">
        <v>184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¿Dónde voto?</v>
      </c>
      <c r="C27" s="85" t="str" cm="1">
        <f t="array" ref="C27">IFERROR(INDEX('03.Muestra'!$F$8:$F$42,SMALL(IF("Página Web"='03.Muestra'!$D$8:$D$42,ROW('03.Muestra'!$F$8:$F$42)-MIN(ROW('03.Muestra'!$D$8:$D$42))+1,""),ROW()-18)),"")</f>
        <v>https://elecciones.comunidad.madrid/es/votar/donde-voto</v>
      </c>
      <c r="D27" s="99" t="s">
        <v>184</v>
      </c>
      <c r="E27" s="79" t="str">
        <f t="shared" si="0"/>
        <v/>
      </c>
      <c r="F27" s="18"/>
      <c r="G27" s="18"/>
      <c r="H27" s="18"/>
      <c r="I27" s="18"/>
      <c r="J27" s="18"/>
      <c r="Q27" s="18"/>
      <c r="R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Voto presencial</v>
      </c>
      <c r="C28" s="85" t="str" cm="1">
        <f t="array" ref="C28">IFERROR(INDEX('03.Muestra'!$F$8:$F$42,SMALL(IF("Página Web"='03.Muestra'!$D$8:$D$42,ROW('03.Muestra'!$F$8:$F$42)-MIN(ROW('03.Muestra'!$D$8:$D$42))+1,""),ROW()-18)),"")</f>
        <v>https://elecciones.comunidad.madrid/es/voto-local-electoral/voto-presencial</v>
      </c>
      <c r="D28" s="99" t="s">
        <v>174</v>
      </c>
      <c r="E28" s="79" t="str">
        <f t="shared" si="0"/>
        <v/>
      </c>
      <c r="F28" s="18"/>
      <c r="G28" s="18"/>
      <c r="H28" s="18"/>
      <c r="I28" s="18"/>
      <c r="J28" s="18"/>
      <c r="N28" s="18"/>
      <c r="O28" s="18"/>
      <c r="P28" s="18"/>
      <c r="Q28" s="18"/>
      <c r="R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Ciudadanos temporalmente en el extranjero</v>
      </c>
      <c r="C29" s="85" t="str" cm="1">
        <f t="array" ref="C29">IFERROR(INDEX('03.Muestra'!$F$8:$F$42,SMALL(IF("Página Web"='03.Muestra'!$D$8:$D$42,ROW('03.Muestra'!$F$8:$F$42)-MIN(ROW('03.Muestra'!$D$8:$D$42))+1,""),ROW()-18)),"")</f>
        <v>https://elecciones.comunidad.madrid/es/voto-correo/solicitud-voto-temporalmente-ausentes</v>
      </c>
      <c r="D29" s="99" t="s">
        <v>174</v>
      </c>
      <c r="E29" s="79" t="str">
        <f t="shared" si="0"/>
        <v/>
      </c>
      <c r="F29" s="18"/>
      <c r="G29" s="18"/>
      <c r="H29" s="18"/>
      <c r="I29" s="18"/>
      <c r="J29" s="18"/>
      <c r="P29" s="18"/>
      <c r="Q29" s="92"/>
      <c r="R29" s="92"/>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Nuevo votante</v>
      </c>
      <c r="C30" s="85" t="str" cm="1">
        <f t="array" ref="C30">IFERROR(INDEX('03.Muestra'!$F$8:$F$42,SMALL(IF("Página Web"='03.Muestra'!$D$8:$D$42,ROW('03.Muestra'!$F$8:$F$42)-MIN(ROW('03.Muestra'!$D$8:$D$42))+1,""),ROW()-18)),"")</f>
        <v>https://elecciones.comunidad.madrid/es/votar/nuevo-votante</v>
      </c>
      <c r="D30" s="99" t="s">
        <v>174</v>
      </c>
      <c r="E30" s="79" t="str">
        <f t="shared" si="0"/>
        <v/>
      </c>
      <c r="F30" s="18"/>
      <c r="G30" s="18"/>
      <c r="H30" s="18"/>
      <c r="I30" s="18"/>
      <c r="J30" s="18"/>
      <c r="K30" s="18"/>
      <c r="L30" s="18"/>
      <c r="O30" s="18"/>
      <c r="P30" s="18"/>
      <c r="Q30" s="18"/>
      <c r="R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Simulación método D'Hondt</v>
      </c>
      <c r="C31" s="85" t="str" cm="1">
        <f t="array" ref="C31">IFERROR(INDEX('03.Muestra'!$F$8:$F$42,SMALL(IF("Página Web"='03.Muestra'!$D$8:$D$42,ROW('03.Muestra'!$F$8:$F$42)-MIN(ROW('03.Muestra'!$D$8:$D$42))+1,""),ROW()-18)),"")</f>
        <v>https://elecciones.comunidad.madrid/es/informacion-util/simulacion-metodo-dhondt</v>
      </c>
      <c r="D31" s="99" t="s">
        <v>184</v>
      </c>
      <c r="E31" s="79" t="str">
        <f t="shared" si="0"/>
        <v/>
      </c>
      <c r="F31" s="18"/>
      <c r="G31" s="18"/>
      <c r="H31" s="18"/>
      <c r="I31" s="18"/>
      <c r="J31" s="18"/>
      <c r="K31" s="18"/>
      <c r="L31" s="18"/>
      <c r="O31" s="18"/>
      <c r="P31" s="18"/>
      <c r="Q31" s="18"/>
      <c r="R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Ley D'Hondt</v>
      </c>
      <c r="C32" s="85" t="str" cm="1">
        <f t="array" ref="C32">IFERROR(INDEX('03.Muestra'!$F$8:$F$42,SMALL(IF("Página Web"='03.Muestra'!$D$8:$D$42,ROW('03.Muestra'!$F$8:$F$42)-MIN(ROW('03.Muestra'!$D$8:$D$42))+1,""),ROW()-18)),"")</f>
        <v>https://elecciones.comunidad.madrid/es/resultados/ley_d_hondt</v>
      </c>
      <c r="D32" s="99" t="s">
        <v>184</v>
      </c>
      <c r="E32" s="79" t="str">
        <f t="shared" si="0"/>
        <v/>
      </c>
      <c r="F32" s="18"/>
      <c r="G32" s="18"/>
      <c r="H32" s="18"/>
      <c r="I32" s="18"/>
      <c r="J32" s="18"/>
      <c r="K32" s="18"/>
      <c r="L32" s="18"/>
      <c r="O32" s="18"/>
      <c r="P32" s="18"/>
      <c r="Q32" s="18"/>
      <c r="R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Voto por correo elector CERA en España</v>
      </c>
      <c r="C33" s="85" t="str" cm="1">
        <f t="array" ref="C33">IFERROR(INDEX('03.Muestra'!$F$8:$F$42,SMALL(IF("Página Web"='03.Muestra'!$D$8:$D$42,ROW('03.Muestra'!$F$8:$F$42)-MIN(ROW('03.Muestra'!$D$8:$D$42))+1,""),ROW()-18)),"")</f>
        <v>https://elecciones.comunidad.madrid/es/preguntas-frecuentes/voto-correo-electores-residentes-extranjero</v>
      </c>
      <c r="D33" s="99" t="s">
        <v>184</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Contacto</v>
      </c>
      <c r="C34" s="85" t="str" cm="1">
        <f t="array" ref="C34">IFERROR(INDEX('03.Muestra'!$F$8:$F$42,SMALL(IF("Página Web"='03.Muestra'!$D$8:$D$42,ROW('03.Muestra'!$F$8:$F$42)-MIN(ROW('03.Muestra'!$D$8:$D$42))+1,""),ROW()-18)),"")</f>
        <v>https://elecciones.comunidad.madrid/es/buzon-de-sugerencias</v>
      </c>
      <c r="D34" s="99" t="s">
        <v>184</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Buscador</v>
      </c>
      <c r="C35" s="85" t="str" cm="1">
        <f t="array" ref="C35">IFERROR(INDEX('03.Muestra'!$F$8:$F$42,SMALL(IF("Página Web"='03.Muestra'!$D$8:$D$42,ROW('03.Muestra'!$F$8:$F$42)-MIN(ROW('03.Muestra'!$D$8:$D$42))+1,""),ROW()-18)),"")</f>
        <v>https://elecciones.comunidad.madrid/es/search?search_api_fulltext=partido</v>
      </c>
      <c r="D35" s="99" t="s">
        <v>184</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Legal-Privacidad</v>
      </c>
      <c r="C36" s="85" t="str" cm="1">
        <f t="array" ref="C36">IFERROR(INDEX('03.Muestra'!$F$8:$F$42,SMALL(IF("Página Web"='03.Muestra'!$D$8:$D$42,ROW('03.Muestra'!$F$8:$F$42)-MIN(ROW('03.Muestra'!$D$8:$D$42))+1,""),ROW()-18)),"")</f>
        <v>https://elecciones.comunidad.madrid/es/aviso-legal</v>
      </c>
      <c r="D36" s="99" t="s">
        <v>184</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https://elecciones.comunidad.madrid/es/sitemap</v>
      </c>
      <c r="D37" s="99" t="s">
        <v>184</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Declaracion Accesibilidad</v>
      </c>
      <c r="C38" s="85" t="str" cm="1">
        <f t="array" ref="C38">IFERROR(INDEX('03.Muestra'!$F$8:$F$42,SMALL(IF("Página Web"='03.Muestra'!$D$8:$D$42,ROW('03.Muestra'!$F$8:$F$42)-MIN(ROW('03.Muestra'!$D$8:$D$42))+1,""),ROW()-18)),"")</f>
        <v>https://elecciones.comunidad.madrid/es/accesibilidad</v>
      </c>
      <c r="D38" s="99" t="s">
        <v>184</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181</v>
      </c>
      <c r="B56" s="23" t="s">
        <v>173</v>
      </c>
      <c r="C56" s="24" t="s">
        <v>215</v>
      </c>
      <c r="D56" s="25" t="s">
        <v>183</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https://elecciones.comunidad.madrid/es</v>
      </c>
      <c r="D57" s="99" t="s">
        <v>184</v>
      </c>
      <c r="E57" s="79" t="str">
        <f t="shared" ref="E57:E91" si="2">IF(D57&lt;&gt;"",IF(AND(B57&lt;&gt;"",C57&lt;&gt;""),"","ERR"),"")</f>
        <v/>
      </c>
      <c r="F57" s="86" t="s">
        <v>185</v>
      </c>
      <c r="G57" s="87" t="s">
        <v>186</v>
      </c>
      <c r="H57" s="88" t="s">
        <v>184</v>
      </c>
      <c r="I57" s="89" t="s">
        <v>176</v>
      </c>
      <c r="J57" s="90" t="s">
        <v>174</v>
      </c>
      <c r="K57" s="179" t="s">
        <v>180</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Resultado Elecciones 28M 2023</v>
      </c>
      <c r="C58" s="85" t="str" cm="1">
        <f t="array" ref="C58">IFERROR(INDEX('03.Muestra'!$F$8:$F$42,SMALL(IF("Página Web"='03.Muestra'!$D$8:$D$42,ROW('03.Muestra'!$F$8:$F$42)-MIN(ROW('03.Muestra'!$D$8:$D$42))+1,""),ROW()-56)),"")</f>
        <v>https://elecciones.comunidad.madrid/es/resultados-elecciones-asamblea-madrid-28m-2023</v>
      </c>
      <c r="D58" s="99" t="s">
        <v>184</v>
      </c>
      <c r="E58" s="79" t="str">
        <f t="shared" si="2"/>
        <v/>
      </c>
      <c r="F58" s="91">
        <f ca="1">COUNTIF($D57:INDIRECT("$D" &amp;  SUM(ROW()-1,'03.Muestra'!$D$45)-1),F57)</f>
        <v>0</v>
      </c>
      <c r="G58" s="91">
        <f ca="1">COUNTIF($D57:INDIRECT("$D" &amp;  SUM(ROW()-1,'03.Muestra'!$D$45)-1),G57)</f>
        <v>0</v>
      </c>
      <c r="H58" s="91">
        <f ca="1">COUNTIF($D57:INDIRECT("$D" &amp;  SUM(ROW()-1,'03.Muestra'!$D$45)-1),H57)</f>
        <v>17</v>
      </c>
      <c r="I58" s="91">
        <f ca="1">COUNTIF($D57:INDIRECT("$D" &amp;  SUM(ROW()-1,'03.Muestra'!$D$45)-1),I57)</f>
        <v>0</v>
      </c>
      <c r="J58" s="91">
        <f ca="1">COUNTIF($D57:INDIRECT("$D" &amp;  SUM(ROW()-1,'03.Muestra'!$D$45)-1),J57)</f>
        <v>3</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Normativa electoral</v>
      </c>
      <c r="C59" s="85" t="str" cm="1">
        <f t="array" ref="C59">IFERROR(INDEX('03.Muestra'!$F$8:$F$42,SMALL(IF("Página Web"='03.Muestra'!$D$8:$D$42,ROW('03.Muestra'!$F$8:$F$42)-MIN(ROW('03.Muestra'!$D$8:$D$42))+1,""),ROW()-56)),"")</f>
        <v>https://elecciones.comunidad.madrid/es/informacion-electoral/normativa-electoral</v>
      </c>
      <c r="D59" s="99" t="s">
        <v>184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Calendario electoral</v>
      </c>
      <c r="C60" s="85" t="str" cm="1">
        <f t="array" ref="C60">IFERROR(INDEX('03.Muestra'!$F$8:$F$42,SMALL(IF("Página Web"='03.Muestra'!$D$8:$D$42,ROW('03.Muestra'!$F$8:$F$42)-MIN(ROW('03.Muestra'!$D$8:$D$42))+1,""),ROW()-56)),"")</f>
        <v>https://elecciones.comunidad.madrid/es/informacion-electoral/calendario-electoral</v>
      </c>
      <c r="D60" s="99" t="s">
        <v>184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Direcciones y teléfonos</v>
      </c>
      <c r="C61" s="85" t="str" cm="1">
        <f t="array" ref="C61">IFERROR(INDEX('03.Muestra'!$F$8:$F$42,SMALL(IF("Página Web"='03.Muestra'!$D$8:$D$42,ROW('03.Muestra'!$F$8:$F$42)-MIN(ROW('03.Muestra'!$D$8:$D$42))+1,""),ROW()-56)),"")</f>
        <v>https://elecciones.comunidad.madrid/es/juntas-electorales/direcciones-telefonos</v>
      </c>
      <c r="D61" s="99" t="s">
        <v>184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Impresos electrónicos</v>
      </c>
      <c r="C62" s="85" t="str" cm="1">
        <f t="array" ref="C62">IFERROR(INDEX('03.Muestra'!$F$8:$F$42,SMALL(IF("Página Web"='03.Muestra'!$D$8:$D$42,ROW('03.Muestra'!$F$8:$F$42)-MIN(ROW('03.Muestra'!$D$8:$D$42))+1,""),ROW()-56)),"")</f>
        <v>https://elecciones.comunidad.madrid/es/formaciones-politicas/impresos-electronicos</v>
      </c>
      <c r="D62" s="99" t="s">
        <v>184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Listado de candidaturas</v>
      </c>
      <c r="C63" s="85" t="str" cm="1">
        <f t="array" ref="C63">IFERROR(INDEX('03.Muestra'!$F$8:$F$42,SMALL(IF("Página Web"='03.Muestra'!$D$8:$D$42,ROW('03.Muestra'!$F$8:$F$42)-MIN(ROW('03.Muestra'!$D$8:$D$42))+1,""),ROW()-56)),"")</f>
        <v>https://elecciones.comunidad.madrid/es/formaciones-politicas/listado-candidaturas-proclamadas</v>
      </c>
      <c r="D63" s="99" t="s">
        <v>184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Partido Feminista de España</v>
      </c>
      <c r="C64" s="85" t="str" cm="1">
        <f t="array" ref="C64">IFERROR(INDEX('03.Muestra'!$F$8:$F$42,SMALL(IF("Página Web"='03.Muestra'!$D$8:$D$42,ROW('03.Muestra'!$F$8:$F$42)-MIN(ROW('03.Muestra'!$D$8:$D$42))+1,""),ROW()-56)),"")</f>
        <v>https://elecciones.comunidad.madrid/es/formaciones-politicas/listado-candidaturas/partido-feminista-espana</v>
      </c>
      <c r="D64" s="99" t="s">
        <v>184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¿Dónde voto?</v>
      </c>
      <c r="C65" s="85" t="str" cm="1">
        <f t="array" ref="C65">IFERROR(INDEX('03.Muestra'!$F$8:$F$42,SMALL(IF("Página Web"='03.Muestra'!$D$8:$D$42,ROW('03.Muestra'!$F$8:$F$42)-MIN(ROW('03.Muestra'!$D$8:$D$42))+1,""),ROW()-56)),"")</f>
        <v>https://elecciones.comunidad.madrid/es/votar/donde-voto</v>
      </c>
      <c r="D65" s="99" t="s">
        <v>184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Voto presencial</v>
      </c>
      <c r="C66" s="85" t="str" cm="1">
        <f t="array" ref="C66">IFERROR(INDEX('03.Muestra'!$F$8:$F$42,SMALL(IF("Página Web"='03.Muestra'!$D$8:$D$42,ROW('03.Muestra'!$F$8:$F$42)-MIN(ROW('03.Muestra'!$D$8:$D$42))+1,""),ROW()-56)),"")</f>
        <v>https://elecciones.comunidad.madrid/es/voto-local-electoral/voto-presencial</v>
      </c>
      <c r="D66" s="99" t="s">
        <v>174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Ciudadanos temporalmente en el extranjero</v>
      </c>
      <c r="C67" s="85" t="str" cm="1">
        <f t="array" ref="C67">IFERROR(INDEX('03.Muestra'!$F$8:$F$42,SMALL(IF("Página Web"='03.Muestra'!$D$8:$D$42,ROW('03.Muestra'!$F$8:$F$42)-MIN(ROW('03.Muestra'!$D$8:$D$42))+1,""),ROW()-56)),"")</f>
        <v>https://elecciones.comunidad.madrid/es/voto-correo/solicitud-voto-temporalmente-ausentes</v>
      </c>
      <c r="D67" s="99" t="s">
        <v>174</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Nuevo votante</v>
      </c>
      <c r="C68" s="85" t="str" cm="1">
        <f t="array" ref="C68">IFERROR(INDEX('03.Muestra'!$F$8:$F$42,SMALL(IF("Página Web"='03.Muestra'!$D$8:$D$42,ROW('03.Muestra'!$F$8:$F$42)-MIN(ROW('03.Muestra'!$D$8:$D$42))+1,""),ROW()-56)),"")</f>
        <v>https://elecciones.comunidad.madrid/es/votar/nuevo-votante</v>
      </c>
      <c r="D68" s="99" t="s">
        <v>174</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Simulación método D'Hondt</v>
      </c>
      <c r="C69" s="85" t="str" cm="1">
        <f t="array" ref="C69">IFERROR(INDEX('03.Muestra'!$F$8:$F$42,SMALL(IF("Página Web"='03.Muestra'!$D$8:$D$42,ROW('03.Muestra'!$F$8:$F$42)-MIN(ROW('03.Muestra'!$D$8:$D$42))+1,""),ROW()-56)),"")</f>
        <v>https://elecciones.comunidad.madrid/es/informacion-util/simulacion-metodo-dhondt</v>
      </c>
      <c r="D69" s="99" t="s">
        <v>184</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Ley D'Hondt</v>
      </c>
      <c r="C70" s="85" t="str" cm="1">
        <f t="array" ref="C70">IFERROR(INDEX('03.Muestra'!$F$8:$F$42,SMALL(IF("Página Web"='03.Muestra'!$D$8:$D$42,ROW('03.Muestra'!$F$8:$F$42)-MIN(ROW('03.Muestra'!$D$8:$D$42))+1,""),ROW()-56)),"")</f>
        <v>https://elecciones.comunidad.madrid/es/resultados/ley_d_hondt</v>
      </c>
      <c r="D70" s="99" t="s">
        <v>184</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Voto por correo elector CERA en España</v>
      </c>
      <c r="C71" s="85" t="str" cm="1">
        <f t="array" ref="C71">IFERROR(INDEX('03.Muestra'!$F$8:$F$42,SMALL(IF("Página Web"='03.Muestra'!$D$8:$D$42,ROW('03.Muestra'!$F$8:$F$42)-MIN(ROW('03.Muestra'!$D$8:$D$42))+1,""),ROW()-56)),"")</f>
        <v>https://elecciones.comunidad.madrid/es/preguntas-frecuentes/voto-correo-electores-residentes-extranjero</v>
      </c>
      <c r="D71" s="99" t="s">
        <v>184</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Contacto</v>
      </c>
      <c r="C72" s="85" t="str" cm="1">
        <f t="array" ref="C72">IFERROR(INDEX('03.Muestra'!$F$8:$F$42,SMALL(IF("Página Web"='03.Muestra'!$D$8:$D$42,ROW('03.Muestra'!$F$8:$F$42)-MIN(ROW('03.Muestra'!$D$8:$D$42))+1,""),ROW()-56)),"")</f>
        <v>https://elecciones.comunidad.madrid/es/buzon-de-sugerencias</v>
      </c>
      <c r="D72" s="99" t="s">
        <v>184</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Buscador</v>
      </c>
      <c r="C73" s="85" t="str" cm="1">
        <f t="array" ref="C73">IFERROR(INDEX('03.Muestra'!$F$8:$F$42,SMALL(IF("Página Web"='03.Muestra'!$D$8:$D$42,ROW('03.Muestra'!$F$8:$F$42)-MIN(ROW('03.Muestra'!$D$8:$D$42))+1,""),ROW()-56)),"")</f>
        <v>https://elecciones.comunidad.madrid/es/search?search_api_fulltext=partido</v>
      </c>
      <c r="D73" s="99" t="s">
        <v>184</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Legal-Privacidad</v>
      </c>
      <c r="C74" s="85" t="str" cm="1">
        <f t="array" ref="C74">IFERROR(INDEX('03.Muestra'!$F$8:$F$42,SMALL(IF("Página Web"='03.Muestra'!$D$8:$D$42,ROW('03.Muestra'!$F$8:$F$42)-MIN(ROW('03.Muestra'!$D$8:$D$42))+1,""),ROW()-56)),"")</f>
        <v>https://elecciones.comunidad.madrid/es/aviso-legal</v>
      </c>
      <c r="D74" s="99" t="s">
        <v>184</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https://elecciones.comunidad.madrid/es/sitemap</v>
      </c>
      <c r="D75" s="99" t="s">
        <v>184</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Declaracion Accesibilidad</v>
      </c>
      <c r="C76" s="85" t="str" cm="1">
        <f t="array" ref="C76">IFERROR(INDEX('03.Muestra'!$F$8:$F$42,SMALL(IF("Página Web"='03.Muestra'!$D$8:$D$42,ROW('03.Muestra'!$F$8:$F$42)-MIN(ROW('03.Muestra'!$D$8:$D$42))+1,""),ROW()-56)),"")</f>
        <v>https://elecciones.comunidad.madrid/es/accesibilidad</v>
      </c>
      <c r="D76" s="99" t="s">
        <v>184</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181</v>
      </c>
      <c r="B94" s="23" t="s">
        <v>173</v>
      </c>
      <c r="C94" s="24" t="s">
        <v>216</v>
      </c>
      <c r="D94" s="25" t="s">
        <v>183</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https://elecciones.comunidad.madrid/es</v>
      </c>
      <c r="D95" s="99" t="s">
        <v>184</v>
      </c>
      <c r="E95" s="79" t="str">
        <f t="shared" ref="E95:E129" si="4">IF(D95&lt;&gt;"",IF(AND(B95&lt;&gt;"",C95&lt;&gt;""),"","ERR"),"")</f>
        <v/>
      </c>
      <c r="F95" s="86" t="s">
        <v>185</v>
      </c>
      <c r="G95" s="87" t="s">
        <v>186</v>
      </c>
      <c r="H95" s="88" t="s">
        <v>184</v>
      </c>
      <c r="I95" s="89" t="s">
        <v>176</v>
      </c>
      <c r="J95" s="90" t="s">
        <v>174</v>
      </c>
      <c r="K95" s="179" t="s">
        <v>180</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Resultado Elecciones 28M 2023</v>
      </c>
      <c r="C96" s="85" t="str" cm="1">
        <f t="array" ref="C96">IFERROR(INDEX('03.Muestra'!$F$8:$F$42,SMALL(IF("Página Web"='03.Muestra'!$D$8:$D$42,ROW('03.Muestra'!$F$8:$F$42)-MIN(ROW('03.Muestra'!$D$8:$D$42))+1,""),ROW()-94)),"")</f>
        <v>https://elecciones.comunidad.madrid/es/resultados-elecciones-asamblea-madrid-28m-2023</v>
      </c>
      <c r="D96" s="99" t="s">
        <v>184</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Normativa electoral</v>
      </c>
      <c r="C97" s="85" t="str" cm="1">
        <f t="array" ref="C97">IFERROR(INDEX('03.Muestra'!$F$8:$F$42,SMALL(IF("Página Web"='03.Muestra'!$D$8:$D$42,ROW('03.Muestra'!$F$8:$F$42)-MIN(ROW('03.Muestra'!$D$8:$D$42))+1,""),ROW()-94)),"")</f>
        <v>https://elecciones.comunidad.madrid/es/informacion-electoral/normativa-electoral</v>
      </c>
      <c r="D97" s="99" t="s">
        <v>184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Calendario electoral</v>
      </c>
      <c r="C98" s="85" t="str" cm="1">
        <f t="array" ref="C98">IFERROR(INDEX('03.Muestra'!$F$8:$F$42,SMALL(IF("Página Web"='03.Muestra'!$D$8:$D$42,ROW('03.Muestra'!$F$8:$F$42)-MIN(ROW('03.Muestra'!$D$8:$D$42))+1,""),ROW()-94)),"")</f>
        <v>https://elecciones.comunidad.madrid/es/informacion-electoral/calendario-electoral</v>
      </c>
      <c r="D98" s="99" t="s">
        <v>184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Direcciones y teléfonos</v>
      </c>
      <c r="C99" s="85" t="str" cm="1">
        <f t="array" ref="C99">IFERROR(INDEX('03.Muestra'!$F$8:$F$42,SMALL(IF("Página Web"='03.Muestra'!$D$8:$D$42,ROW('03.Muestra'!$F$8:$F$42)-MIN(ROW('03.Muestra'!$D$8:$D$42))+1,""),ROW()-94)),"")</f>
        <v>https://elecciones.comunidad.madrid/es/juntas-electorales/direcciones-telefonos</v>
      </c>
      <c r="D99" s="99" t="s">
        <v>184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Impresos electrónicos</v>
      </c>
      <c r="C100" s="85" t="str" cm="1">
        <f t="array" ref="C100">IFERROR(INDEX('03.Muestra'!$F$8:$F$42,SMALL(IF("Página Web"='03.Muestra'!$D$8:$D$42,ROW('03.Muestra'!$F$8:$F$42)-MIN(ROW('03.Muestra'!$D$8:$D$42))+1,""),ROW()-94)),"")</f>
        <v>https://elecciones.comunidad.madrid/es/formaciones-politicas/impresos-electronicos</v>
      </c>
      <c r="D100" s="99" t="s">
        <v>184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Listado de candidaturas</v>
      </c>
      <c r="C101" s="85" t="str" cm="1">
        <f t="array" ref="C101">IFERROR(INDEX('03.Muestra'!$F$8:$F$42,SMALL(IF("Página Web"='03.Muestra'!$D$8:$D$42,ROW('03.Muestra'!$F$8:$F$42)-MIN(ROW('03.Muestra'!$D$8:$D$42))+1,""),ROW()-94)),"")</f>
        <v>https://elecciones.comunidad.madrid/es/formaciones-politicas/listado-candidaturas-proclamadas</v>
      </c>
      <c r="D101" s="99" t="s">
        <v>184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Partido Feminista de España</v>
      </c>
      <c r="C102" s="85" t="str" cm="1">
        <f t="array" ref="C102">IFERROR(INDEX('03.Muestra'!$F$8:$F$42,SMALL(IF("Página Web"='03.Muestra'!$D$8:$D$42,ROW('03.Muestra'!$F$8:$F$42)-MIN(ROW('03.Muestra'!$D$8:$D$42))+1,""),ROW()-94)),"")</f>
        <v>https://elecciones.comunidad.madrid/es/formaciones-politicas/listado-candidaturas/partido-feminista-espana</v>
      </c>
      <c r="D102" s="99" t="s">
        <v>184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¿Dónde voto?</v>
      </c>
      <c r="C103" s="85" t="str" cm="1">
        <f t="array" ref="C103">IFERROR(INDEX('03.Muestra'!$F$8:$F$42,SMALL(IF("Página Web"='03.Muestra'!$D$8:$D$42,ROW('03.Muestra'!$F$8:$F$42)-MIN(ROW('03.Muestra'!$D$8:$D$42))+1,""),ROW()-94)),"")</f>
        <v>https://elecciones.comunidad.madrid/es/votar/donde-voto</v>
      </c>
      <c r="D103" s="99" t="s">
        <v>184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Voto presencial</v>
      </c>
      <c r="C104" s="85" t="str" cm="1">
        <f t="array" ref="C104">IFERROR(INDEX('03.Muestra'!$F$8:$F$42,SMALL(IF("Página Web"='03.Muestra'!$D$8:$D$42,ROW('03.Muestra'!$F$8:$F$42)-MIN(ROW('03.Muestra'!$D$8:$D$42))+1,""),ROW()-94)),"")</f>
        <v>https://elecciones.comunidad.madrid/es/voto-local-electoral/voto-presencial</v>
      </c>
      <c r="D104" s="99" t="s">
        <v>184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Ciudadanos temporalmente en el extranjero</v>
      </c>
      <c r="C105" s="85" t="str" cm="1">
        <f t="array" ref="C105">IFERROR(INDEX('03.Muestra'!$F$8:$F$42,SMALL(IF("Página Web"='03.Muestra'!$D$8:$D$42,ROW('03.Muestra'!$F$8:$F$42)-MIN(ROW('03.Muestra'!$D$8:$D$42))+1,""),ROW()-94)),"")</f>
        <v>https://elecciones.comunidad.madrid/es/voto-correo/solicitud-voto-temporalmente-ausentes</v>
      </c>
      <c r="D105" s="99" t="s">
        <v>184</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Nuevo votante</v>
      </c>
      <c r="C106" s="85" t="str" cm="1">
        <f t="array" ref="C106">IFERROR(INDEX('03.Muestra'!$F$8:$F$42,SMALL(IF("Página Web"='03.Muestra'!$D$8:$D$42,ROW('03.Muestra'!$F$8:$F$42)-MIN(ROW('03.Muestra'!$D$8:$D$42))+1,""),ROW()-94)),"")</f>
        <v>https://elecciones.comunidad.madrid/es/votar/nuevo-votante</v>
      </c>
      <c r="D106" s="99" t="s">
        <v>184</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Simulación método D'Hondt</v>
      </c>
      <c r="C107" s="85" t="str" cm="1">
        <f t="array" ref="C107">IFERROR(INDEX('03.Muestra'!$F$8:$F$42,SMALL(IF("Página Web"='03.Muestra'!$D$8:$D$42,ROW('03.Muestra'!$F$8:$F$42)-MIN(ROW('03.Muestra'!$D$8:$D$42))+1,""),ROW()-94)),"")</f>
        <v>https://elecciones.comunidad.madrid/es/informacion-util/simulacion-metodo-dhondt</v>
      </c>
      <c r="D107" s="99" t="s">
        <v>184</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Ley D'Hondt</v>
      </c>
      <c r="C108" s="85" t="str" cm="1">
        <f t="array" ref="C108">IFERROR(INDEX('03.Muestra'!$F$8:$F$42,SMALL(IF("Página Web"='03.Muestra'!$D$8:$D$42,ROW('03.Muestra'!$F$8:$F$42)-MIN(ROW('03.Muestra'!$D$8:$D$42))+1,""),ROW()-94)),"")</f>
        <v>https://elecciones.comunidad.madrid/es/resultados/ley_d_hondt</v>
      </c>
      <c r="D108" s="99" t="s">
        <v>184</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Voto por correo elector CERA en España</v>
      </c>
      <c r="C109" s="85" t="str" cm="1">
        <f t="array" ref="C109">IFERROR(INDEX('03.Muestra'!$F$8:$F$42,SMALL(IF("Página Web"='03.Muestra'!$D$8:$D$42,ROW('03.Muestra'!$F$8:$F$42)-MIN(ROW('03.Muestra'!$D$8:$D$42))+1,""),ROW()-94)),"")</f>
        <v>https://elecciones.comunidad.madrid/es/preguntas-frecuentes/voto-correo-electores-residentes-extranjero</v>
      </c>
      <c r="D109" s="99" t="s">
        <v>184</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Contacto</v>
      </c>
      <c r="C110" s="85" t="str" cm="1">
        <f t="array" ref="C110">IFERROR(INDEX('03.Muestra'!$F$8:$F$42,SMALL(IF("Página Web"='03.Muestra'!$D$8:$D$42,ROW('03.Muestra'!$F$8:$F$42)-MIN(ROW('03.Muestra'!$D$8:$D$42))+1,""),ROW()-94)),"")</f>
        <v>https://elecciones.comunidad.madrid/es/buzon-de-sugerencias</v>
      </c>
      <c r="D110" s="99" t="s">
        <v>184</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Buscador</v>
      </c>
      <c r="C111" s="85" t="str" cm="1">
        <f t="array" ref="C111">IFERROR(INDEX('03.Muestra'!$F$8:$F$42,SMALL(IF("Página Web"='03.Muestra'!$D$8:$D$42,ROW('03.Muestra'!$F$8:$F$42)-MIN(ROW('03.Muestra'!$D$8:$D$42))+1,""),ROW()-94)),"")</f>
        <v>https://elecciones.comunidad.madrid/es/search?search_api_fulltext=partido</v>
      </c>
      <c r="D111" s="99" t="s">
        <v>184</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Legal-Privacidad</v>
      </c>
      <c r="C112" s="85" t="str" cm="1">
        <f t="array" ref="C112">IFERROR(INDEX('03.Muestra'!$F$8:$F$42,SMALL(IF("Página Web"='03.Muestra'!$D$8:$D$42,ROW('03.Muestra'!$F$8:$F$42)-MIN(ROW('03.Muestra'!$D$8:$D$42))+1,""),ROW()-94)),"")</f>
        <v>https://elecciones.comunidad.madrid/es/aviso-legal</v>
      </c>
      <c r="D112" s="99" t="s">
        <v>184</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https://elecciones.comunidad.madrid/es/sitemap</v>
      </c>
      <c r="D113" s="99" t="s">
        <v>184</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Declaracion Accesibilidad</v>
      </c>
      <c r="C114" s="85" t="str" cm="1">
        <f t="array" ref="C114">IFERROR(INDEX('03.Muestra'!$F$8:$F$42,SMALL(IF("Página Web"='03.Muestra'!$D$8:$D$42,ROW('03.Muestra'!$F$8:$F$42)-MIN(ROW('03.Muestra'!$D$8:$D$42))+1,""),ROW()-94)),"")</f>
        <v>https://elecciones.comunidad.madrid/es/accesibilidad</v>
      </c>
      <c r="D114" s="99" t="s">
        <v>184</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181</v>
      </c>
      <c r="B132" s="23" t="s">
        <v>173</v>
      </c>
      <c r="C132" s="172" t="s">
        <v>217</v>
      </c>
      <c r="D132" s="25" t="s">
        <v>183</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https://elecciones.comunidad.madrid/es</v>
      </c>
      <c r="D133" s="99" t="s">
        <v>184</v>
      </c>
      <c r="E133" s="79" t="str">
        <f t="shared" ref="E133:E167" si="6">IF(D133&lt;&gt;"",IF(AND(B133&lt;&gt;"",C133&lt;&gt;""),"","ERR"),"")</f>
        <v/>
      </c>
      <c r="F133" s="86" t="s">
        <v>185</v>
      </c>
      <c r="G133" s="87" t="s">
        <v>186</v>
      </c>
      <c r="H133" s="88" t="s">
        <v>184</v>
      </c>
      <c r="I133" s="89" t="s">
        <v>176</v>
      </c>
      <c r="J133" s="90" t="s">
        <v>174</v>
      </c>
      <c r="K133" s="179" t="s">
        <v>180</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Resultado Elecciones 28M 2023</v>
      </c>
      <c r="C134" s="85" t="str" cm="1">
        <f t="array" ref="C134">IFERROR(INDEX('03.Muestra'!$F$8:$F$42,SMALL(IF("Página Web"='03.Muestra'!$D$8:$D$42,ROW('03.Muestra'!$F$8:$F$42)-MIN(ROW('03.Muestra'!$D$8:$D$42))+1,""),ROW()-132)),"")</f>
        <v>https://elecciones.comunidad.madrid/es/resultados-elecciones-asamblea-madrid-28m-2023</v>
      </c>
      <c r="D134" s="99" t="s">
        <v>184</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Normativa electoral</v>
      </c>
      <c r="C135" s="85" t="str" cm="1">
        <f t="array" ref="C135">IFERROR(INDEX('03.Muestra'!$F$8:$F$42,SMALL(IF("Página Web"='03.Muestra'!$D$8:$D$42,ROW('03.Muestra'!$F$8:$F$42)-MIN(ROW('03.Muestra'!$D$8:$D$42))+1,""),ROW()-132)),"")</f>
        <v>https://elecciones.comunidad.madrid/es/informacion-electoral/normativa-electoral</v>
      </c>
      <c r="D135" s="99" t="s">
        <v>184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Calendario electoral</v>
      </c>
      <c r="C136" s="85" t="str" cm="1">
        <f t="array" ref="C136">IFERROR(INDEX('03.Muestra'!$F$8:$F$42,SMALL(IF("Página Web"='03.Muestra'!$D$8:$D$42,ROW('03.Muestra'!$F$8:$F$42)-MIN(ROW('03.Muestra'!$D$8:$D$42))+1,""),ROW()-132)),"")</f>
        <v>https://elecciones.comunidad.madrid/es/informacion-electoral/calendario-electoral</v>
      </c>
      <c r="D136" s="99" t="s">
        <v>184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Direcciones y teléfonos</v>
      </c>
      <c r="C137" s="85" t="str" cm="1">
        <f t="array" ref="C137">IFERROR(INDEX('03.Muestra'!$F$8:$F$42,SMALL(IF("Página Web"='03.Muestra'!$D$8:$D$42,ROW('03.Muestra'!$F$8:$F$42)-MIN(ROW('03.Muestra'!$D$8:$D$42))+1,""),ROW()-132)),"")</f>
        <v>https://elecciones.comunidad.madrid/es/juntas-electorales/direcciones-telefonos</v>
      </c>
      <c r="D137" s="99" t="s">
        <v>184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Impresos electrónicos</v>
      </c>
      <c r="C138" s="85" t="str" cm="1">
        <f t="array" ref="C138">IFERROR(INDEX('03.Muestra'!$F$8:$F$42,SMALL(IF("Página Web"='03.Muestra'!$D$8:$D$42,ROW('03.Muestra'!$F$8:$F$42)-MIN(ROW('03.Muestra'!$D$8:$D$42))+1,""),ROW()-132)),"")</f>
        <v>https://elecciones.comunidad.madrid/es/formaciones-politicas/impresos-electronicos</v>
      </c>
      <c r="D138" s="99" t="s">
        <v>184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Listado de candidaturas</v>
      </c>
      <c r="C139" s="85" t="str" cm="1">
        <f t="array" ref="C139">IFERROR(INDEX('03.Muestra'!$F$8:$F$42,SMALL(IF("Página Web"='03.Muestra'!$D$8:$D$42,ROW('03.Muestra'!$F$8:$F$42)-MIN(ROW('03.Muestra'!$D$8:$D$42))+1,""),ROW()-132)),"")</f>
        <v>https://elecciones.comunidad.madrid/es/formaciones-politicas/listado-candidaturas-proclamadas</v>
      </c>
      <c r="D139" s="99" t="s">
        <v>184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Partido Feminista de España</v>
      </c>
      <c r="C140" s="85" t="str" cm="1">
        <f t="array" ref="C140">IFERROR(INDEX('03.Muestra'!$F$8:$F$42,SMALL(IF("Página Web"='03.Muestra'!$D$8:$D$42,ROW('03.Muestra'!$F$8:$F$42)-MIN(ROW('03.Muestra'!$D$8:$D$42))+1,""),ROW()-132)),"")</f>
        <v>https://elecciones.comunidad.madrid/es/formaciones-politicas/listado-candidaturas/partido-feminista-espana</v>
      </c>
      <c r="D140" s="99" t="s">
        <v>184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¿Dónde voto?</v>
      </c>
      <c r="C141" s="85" t="str" cm="1">
        <f t="array" ref="C141">IFERROR(INDEX('03.Muestra'!$F$8:$F$42,SMALL(IF("Página Web"='03.Muestra'!$D$8:$D$42,ROW('03.Muestra'!$F$8:$F$42)-MIN(ROW('03.Muestra'!$D$8:$D$42))+1,""),ROW()-132)),"")</f>
        <v>https://elecciones.comunidad.madrid/es/votar/donde-voto</v>
      </c>
      <c r="D141" s="99" t="s">
        <v>184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Voto presencial</v>
      </c>
      <c r="C142" s="85" t="str" cm="1">
        <f t="array" ref="C142">IFERROR(INDEX('03.Muestra'!$F$8:$F$42,SMALL(IF("Página Web"='03.Muestra'!$D$8:$D$42,ROW('03.Muestra'!$F$8:$F$42)-MIN(ROW('03.Muestra'!$D$8:$D$42))+1,""),ROW()-132)),"")</f>
        <v>https://elecciones.comunidad.madrid/es/voto-local-electoral/voto-presencial</v>
      </c>
      <c r="D142" s="99" t="s">
        <v>184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Ciudadanos temporalmente en el extranjero</v>
      </c>
      <c r="C143" s="85" t="str" cm="1">
        <f t="array" ref="C143">IFERROR(INDEX('03.Muestra'!$F$8:$F$42,SMALL(IF("Página Web"='03.Muestra'!$D$8:$D$42,ROW('03.Muestra'!$F$8:$F$42)-MIN(ROW('03.Muestra'!$D$8:$D$42))+1,""),ROW()-132)),"")</f>
        <v>https://elecciones.comunidad.madrid/es/voto-correo/solicitud-voto-temporalmente-ausentes</v>
      </c>
      <c r="D143" s="99" t="s">
        <v>184</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Nuevo votante</v>
      </c>
      <c r="C144" s="85" t="str" cm="1">
        <f t="array" ref="C144">IFERROR(INDEX('03.Muestra'!$F$8:$F$42,SMALL(IF("Página Web"='03.Muestra'!$D$8:$D$42,ROW('03.Muestra'!$F$8:$F$42)-MIN(ROW('03.Muestra'!$D$8:$D$42))+1,""),ROW()-132)),"")</f>
        <v>https://elecciones.comunidad.madrid/es/votar/nuevo-votante</v>
      </c>
      <c r="D144" s="99" t="s">
        <v>184</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Simulación método D'Hondt</v>
      </c>
      <c r="C145" s="85" t="str" cm="1">
        <f t="array" ref="C145">IFERROR(INDEX('03.Muestra'!$F$8:$F$42,SMALL(IF("Página Web"='03.Muestra'!$D$8:$D$42,ROW('03.Muestra'!$F$8:$F$42)-MIN(ROW('03.Muestra'!$D$8:$D$42))+1,""),ROW()-132)),"")</f>
        <v>https://elecciones.comunidad.madrid/es/informacion-util/simulacion-metodo-dhondt</v>
      </c>
      <c r="D145" s="99" t="s">
        <v>184</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Ley D'Hondt</v>
      </c>
      <c r="C146" s="85" t="str" cm="1">
        <f t="array" ref="C146">IFERROR(INDEX('03.Muestra'!$F$8:$F$42,SMALL(IF("Página Web"='03.Muestra'!$D$8:$D$42,ROW('03.Muestra'!$F$8:$F$42)-MIN(ROW('03.Muestra'!$D$8:$D$42))+1,""),ROW()-132)),"")</f>
        <v>https://elecciones.comunidad.madrid/es/resultados/ley_d_hondt</v>
      </c>
      <c r="D146" s="99" t="s">
        <v>184</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Voto por correo elector CERA en España</v>
      </c>
      <c r="C147" s="85" t="str" cm="1">
        <f t="array" ref="C147">IFERROR(INDEX('03.Muestra'!$F$8:$F$42,SMALL(IF("Página Web"='03.Muestra'!$D$8:$D$42,ROW('03.Muestra'!$F$8:$F$42)-MIN(ROW('03.Muestra'!$D$8:$D$42))+1,""),ROW()-132)),"")</f>
        <v>https://elecciones.comunidad.madrid/es/preguntas-frecuentes/voto-correo-electores-residentes-extranjero</v>
      </c>
      <c r="D147" s="99" t="s">
        <v>184</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Contacto</v>
      </c>
      <c r="C148" s="85" t="str" cm="1">
        <f t="array" ref="C148">IFERROR(INDEX('03.Muestra'!$F$8:$F$42,SMALL(IF("Página Web"='03.Muestra'!$D$8:$D$42,ROW('03.Muestra'!$F$8:$F$42)-MIN(ROW('03.Muestra'!$D$8:$D$42))+1,""),ROW()-132)),"")</f>
        <v>https://elecciones.comunidad.madrid/es/buzon-de-sugerencias</v>
      </c>
      <c r="D148" s="99" t="s">
        <v>184</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Buscador</v>
      </c>
      <c r="C149" s="85" t="str" cm="1">
        <f t="array" ref="C149">IFERROR(INDEX('03.Muestra'!$F$8:$F$42,SMALL(IF("Página Web"='03.Muestra'!$D$8:$D$42,ROW('03.Muestra'!$F$8:$F$42)-MIN(ROW('03.Muestra'!$D$8:$D$42))+1,""),ROW()-132)),"")</f>
        <v>https://elecciones.comunidad.madrid/es/search?search_api_fulltext=partido</v>
      </c>
      <c r="D149" s="99" t="s">
        <v>184</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Legal-Privacidad</v>
      </c>
      <c r="C150" s="85" t="str" cm="1">
        <f t="array" ref="C150">IFERROR(INDEX('03.Muestra'!$F$8:$F$42,SMALL(IF("Página Web"='03.Muestra'!$D$8:$D$42,ROW('03.Muestra'!$F$8:$F$42)-MIN(ROW('03.Muestra'!$D$8:$D$42))+1,""),ROW()-132)),"")</f>
        <v>https://elecciones.comunidad.madrid/es/aviso-legal</v>
      </c>
      <c r="D150" s="99" t="s">
        <v>184</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https://elecciones.comunidad.madrid/es/sitemap</v>
      </c>
      <c r="D151" s="99" t="s">
        <v>184</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Declaracion Accesibilidad</v>
      </c>
      <c r="C152" s="85" t="str" cm="1">
        <f t="array" ref="C152">IFERROR(INDEX('03.Muestra'!$F$8:$F$42,SMALL(IF("Página Web"='03.Muestra'!$D$8:$D$42,ROW('03.Muestra'!$F$8:$F$42)-MIN(ROW('03.Muestra'!$D$8:$D$42))+1,""),ROW()-132)),"")</f>
        <v>https://elecciones.comunidad.madrid/es/accesibilidad</v>
      </c>
      <c r="D152" s="99" t="s">
        <v>184</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181</v>
      </c>
      <c r="B170" s="23" t="s">
        <v>173</v>
      </c>
      <c r="C170" s="172" t="s">
        <v>218</v>
      </c>
      <c r="D170" s="25" t="s">
        <v>183</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https://elecciones.comunidad.madrid/es</v>
      </c>
      <c r="D171" s="99" t="s">
        <v>184</v>
      </c>
      <c r="E171" s="79" t="str">
        <f t="shared" ref="E171:E205" si="8">IF(D171&lt;&gt;"",IF(AND(B171&lt;&gt;"",C171&lt;&gt;""),"","ERR"),"")</f>
        <v/>
      </c>
      <c r="F171" s="86" t="s">
        <v>185</v>
      </c>
      <c r="G171" s="87" t="s">
        <v>186</v>
      </c>
      <c r="H171" s="88" t="s">
        <v>184</v>
      </c>
      <c r="I171" s="89" t="s">
        <v>176</v>
      </c>
      <c r="J171" s="90" t="s">
        <v>174</v>
      </c>
      <c r="K171" s="179" t="s">
        <v>180</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Resultado Elecciones 28M 2023</v>
      </c>
      <c r="C172" s="85" t="str" cm="1">
        <f t="array" ref="C172">IFERROR(INDEX('03.Muestra'!$F$8:$F$42,SMALL(IF("Página Web"='03.Muestra'!$D$8:$D$42,ROW('03.Muestra'!$F$8:$F$42)-MIN(ROW('03.Muestra'!$D$8:$D$42))+1,""),ROW()-170)),"")</f>
        <v>https://elecciones.comunidad.madrid/es/resultados-elecciones-asamblea-madrid-28m-2023</v>
      </c>
      <c r="D172" s="99" t="s">
        <v>184</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Normativa electoral</v>
      </c>
      <c r="C173" s="85" t="str" cm="1">
        <f t="array" ref="C173">IFERROR(INDEX('03.Muestra'!$F$8:$F$42,SMALL(IF("Página Web"='03.Muestra'!$D$8:$D$42,ROW('03.Muestra'!$F$8:$F$42)-MIN(ROW('03.Muestra'!$D$8:$D$42))+1,""),ROW()-170)),"")</f>
        <v>https://elecciones.comunidad.madrid/es/informacion-electoral/normativa-electoral</v>
      </c>
      <c r="D173" s="99" t="s">
        <v>184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Calendario electoral</v>
      </c>
      <c r="C174" s="85" t="str" cm="1">
        <f t="array" ref="C174">IFERROR(INDEX('03.Muestra'!$F$8:$F$42,SMALL(IF("Página Web"='03.Muestra'!$D$8:$D$42,ROW('03.Muestra'!$F$8:$F$42)-MIN(ROW('03.Muestra'!$D$8:$D$42))+1,""),ROW()-170)),"")</f>
        <v>https://elecciones.comunidad.madrid/es/informacion-electoral/calendario-electoral</v>
      </c>
      <c r="D174" s="99" t="s">
        <v>184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Direcciones y teléfonos</v>
      </c>
      <c r="C175" s="85" t="str" cm="1">
        <f t="array" ref="C175">IFERROR(INDEX('03.Muestra'!$F$8:$F$42,SMALL(IF("Página Web"='03.Muestra'!$D$8:$D$42,ROW('03.Muestra'!$F$8:$F$42)-MIN(ROW('03.Muestra'!$D$8:$D$42))+1,""),ROW()-170)),"")</f>
        <v>https://elecciones.comunidad.madrid/es/juntas-electorales/direcciones-telefonos</v>
      </c>
      <c r="D175" s="99" t="s">
        <v>184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Impresos electrónicos</v>
      </c>
      <c r="C176" s="85" t="str" cm="1">
        <f t="array" ref="C176">IFERROR(INDEX('03.Muestra'!$F$8:$F$42,SMALL(IF("Página Web"='03.Muestra'!$D$8:$D$42,ROW('03.Muestra'!$F$8:$F$42)-MIN(ROW('03.Muestra'!$D$8:$D$42))+1,""),ROW()-170)),"")</f>
        <v>https://elecciones.comunidad.madrid/es/formaciones-politicas/impresos-electronicos</v>
      </c>
      <c r="D176" s="99" t="s">
        <v>184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Listado de candidaturas</v>
      </c>
      <c r="C177" s="85" t="str" cm="1">
        <f t="array" ref="C177">IFERROR(INDEX('03.Muestra'!$F$8:$F$42,SMALL(IF("Página Web"='03.Muestra'!$D$8:$D$42,ROW('03.Muestra'!$F$8:$F$42)-MIN(ROW('03.Muestra'!$D$8:$D$42))+1,""),ROW()-170)),"")</f>
        <v>https://elecciones.comunidad.madrid/es/formaciones-politicas/listado-candidaturas-proclamadas</v>
      </c>
      <c r="D177" s="99" t="s">
        <v>184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Partido Feminista de España</v>
      </c>
      <c r="C178" s="85" t="str" cm="1">
        <f t="array" ref="C178">IFERROR(INDEX('03.Muestra'!$F$8:$F$42,SMALL(IF("Página Web"='03.Muestra'!$D$8:$D$42,ROW('03.Muestra'!$F$8:$F$42)-MIN(ROW('03.Muestra'!$D$8:$D$42))+1,""),ROW()-170)),"")</f>
        <v>https://elecciones.comunidad.madrid/es/formaciones-politicas/listado-candidaturas/partido-feminista-espana</v>
      </c>
      <c r="D178" s="99" t="s">
        <v>184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¿Dónde voto?</v>
      </c>
      <c r="C179" s="85" t="str" cm="1">
        <f t="array" ref="C179">IFERROR(INDEX('03.Muestra'!$F$8:$F$42,SMALL(IF("Página Web"='03.Muestra'!$D$8:$D$42,ROW('03.Muestra'!$F$8:$F$42)-MIN(ROW('03.Muestra'!$D$8:$D$42))+1,""),ROW()-170)),"")</f>
        <v>https://elecciones.comunidad.madrid/es/votar/donde-voto</v>
      </c>
      <c r="D179" s="99" t="s">
        <v>184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Voto presencial</v>
      </c>
      <c r="C180" s="85" t="str" cm="1">
        <f t="array" ref="C180">IFERROR(INDEX('03.Muestra'!$F$8:$F$42,SMALL(IF("Página Web"='03.Muestra'!$D$8:$D$42,ROW('03.Muestra'!$F$8:$F$42)-MIN(ROW('03.Muestra'!$D$8:$D$42))+1,""),ROW()-170)),"")</f>
        <v>https://elecciones.comunidad.madrid/es/voto-local-electoral/voto-presencial</v>
      </c>
      <c r="D180" s="99" t="s">
        <v>184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Ciudadanos temporalmente en el extranjero</v>
      </c>
      <c r="C181" s="85" t="str" cm="1">
        <f t="array" ref="C181">IFERROR(INDEX('03.Muestra'!$F$8:$F$42,SMALL(IF("Página Web"='03.Muestra'!$D$8:$D$42,ROW('03.Muestra'!$F$8:$F$42)-MIN(ROW('03.Muestra'!$D$8:$D$42))+1,""),ROW()-170)),"")</f>
        <v>https://elecciones.comunidad.madrid/es/voto-correo/solicitud-voto-temporalmente-ausentes</v>
      </c>
      <c r="D181" s="99" t="s">
        <v>184</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Nuevo votante</v>
      </c>
      <c r="C182" s="85" t="str" cm="1">
        <f t="array" ref="C182">IFERROR(INDEX('03.Muestra'!$F$8:$F$42,SMALL(IF("Página Web"='03.Muestra'!$D$8:$D$42,ROW('03.Muestra'!$F$8:$F$42)-MIN(ROW('03.Muestra'!$D$8:$D$42))+1,""),ROW()-170)),"")</f>
        <v>https://elecciones.comunidad.madrid/es/votar/nuevo-votante</v>
      </c>
      <c r="D182" s="99" t="s">
        <v>184</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Simulación método D'Hondt</v>
      </c>
      <c r="C183" s="85" t="str" cm="1">
        <f t="array" ref="C183">IFERROR(INDEX('03.Muestra'!$F$8:$F$42,SMALL(IF("Página Web"='03.Muestra'!$D$8:$D$42,ROW('03.Muestra'!$F$8:$F$42)-MIN(ROW('03.Muestra'!$D$8:$D$42))+1,""),ROW()-170)),"")</f>
        <v>https://elecciones.comunidad.madrid/es/informacion-util/simulacion-metodo-dhondt</v>
      </c>
      <c r="D183" s="99" t="s">
        <v>184</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Ley D'Hondt</v>
      </c>
      <c r="C184" s="85" t="str" cm="1">
        <f t="array" ref="C184">IFERROR(INDEX('03.Muestra'!$F$8:$F$42,SMALL(IF("Página Web"='03.Muestra'!$D$8:$D$42,ROW('03.Muestra'!$F$8:$F$42)-MIN(ROW('03.Muestra'!$D$8:$D$42))+1,""),ROW()-170)),"")</f>
        <v>https://elecciones.comunidad.madrid/es/resultados/ley_d_hondt</v>
      </c>
      <c r="D184" s="99" t="s">
        <v>184</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Voto por correo elector CERA en España</v>
      </c>
      <c r="C185" s="85" t="str" cm="1">
        <f t="array" ref="C185">IFERROR(INDEX('03.Muestra'!$F$8:$F$42,SMALL(IF("Página Web"='03.Muestra'!$D$8:$D$42,ROW('03.Muestra'!$F$8:$F$42)-MIN(ROW('03.Muestra'!$D$8:$D$42))+1,""),ROW()-170)),"")</f>
        <v>https://elecciones.comunidad.madrid/es/preguntas-frecuentes/voto-correo-electores-residentes-extranjero</v>
      </c>
      <c r="D185" s="99" t="s">
        <v>184</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Contacto</v>
      </c>
      <c r="C186" s="85" t="str" cm="1">
        <f t="array" ref="C186">IFERROR(INDEX('03.Muestra'!$F$8:$F$42,SMALL(IF("Página Web"='03.Muestra'!$D$8:$D$42,ROW('03.Muestra'!$F$8:$F$42)-MIN(ROW('03.Muestra'!$D$8:$D$42))+1,""),ROW()-170)),"")</f>
        <v>https://elecciones.comunidad.madrid/es/buzon-de-sugerencias</v>
      </c>
      <c r="D186" s="99" t="s">
        <v>184</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Buscador</v>
      </c>
      <c r="C187" s="85" t="str" cm="1">
        <f t="array" ref="C187">IFERROR(INDEX('03.Muestra'!$F$8:$F$42,SMALL(IF("Página Web"='03.Muestra'!$D$8:$D$42,ROW('03.Muestra'!$F$8:$F$42)-MIN(ROW('03.Muestra'!$D$8:$D$42))+1,""),ROW()-170)),"")</f>
        <v>https://elecciones.comunidad.madrid/es/search?search_api_fulltext=partido</v>
      </c>
      <c r="D187" s="99" t="s">
        <v>184</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Legal-Privacidad</v>
      </c>
      <c r="C188" s="85" t="str" cm="1">
        <f t="array" ref="C188">IFERROR(INDEX('03.Muestra'!$F$8:$F$42,SMALL(IF("Página Web"='03.Muestra'!$D$8:$D$42,ROW('03.Muestra'!$F$8:$F$42)-MIN(ROW('03.Muestra'!$D$8:$D$42))+1,""),ROW()-170)),"")</f>
        <v>https://elecciones.comunidad.madrid/es/aviso-legal</v>
      </c>
      <c r="D188" s="99" t="s">
        <v>184</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https://elecciones.comunidad.madrid/es/sitemap</v>
      </c>
      <c r="D189" s="99" t="s">
        <v>184</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Declaracion Accesibilidad</v>
      </c>
      <c r="C190" s="85" t="str" cm="1">
        <f t="array" ref="C190">IFERROR(INDEX('03.Muestra'!$F$8:$F$42,SMALL(IF("Página Web"='03.Muestra'!$D$8:$D$42,ROW('03.Muestra'!$F$8:$F$42)-MIN(ROW('03.Muestra'!$D$8:$D$42))+1,""),ROW()-170)),"")</f>
        <v>https://elecciones.comunidad.madrid/es/accesibilidad</v>
      </c>
      <c r="D190" s="99" t="s">
        <v>184</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181</v>
      </c>
      <c r="B208" s="23" t="s">
        <v>173</v>
      </c>
      <c r="C208" s="24" t="s">
        <v>219</v>
      </c>
      <c r="D208" s="25" t="s">
        <v>183</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https://elecciones.comunidad.madrid/es</v>
      </c>
      <c r="D209" s="99" t="s">
        <v>176</v>
      </c>
      <c r="E209" s="79" t="str">
        <f t="shared" ref="E209:E243" si="10">IF(D209&lt;&gt;"",IF(AND(B209&lt;&gt;"",C209&lt;&gt;""),"","ERR"),"")</f>
        <v/>
      </c>
      <c r="F209" s="86" t="s">
        <v>185</v>
      </c>
      <c r="G209" s="87" t="s">
        <v>186</v>
      </c>
      <c r="H209" s="88" t="s">
        <v>184</v>
      </c>
      <c r="I209" s="89" t="s">
        <v>176</v>
      </c>
      <c r="J209" s="90" t="s">
        <v>174</v>
      </c>
      <c r="K209" s="179" t="s">
        <v>180</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Resultado Elecciones 28M 2023</v>
      </c>
      <c r="C210" s="85" t="str" cm="1">
        <f t="array" ref="C210">IFERROR(INDEX('03.Muestra'!$F$8:$F$42,SMALL(IF("Página Web"='03.Muestra'!$D$8:$D$42,ROW('03.Muestra'!$F$8:$F$42)-MIN(ROW('03.Muestra'!$D$8:$D$42))+1,""),ROW()-208)),"")</f>
        <v>https://elecciones.comunidad.madrid/es/resultados-elecciones-asamblea-madrid-28m-2023</v>
      </c>
      <c r="D210" s="99" t="s">
        <v>184</v>
      </c>
      <c r="E210" s="79" t="str">
        <f t="shared" si="10"/>
        <v/>
      </c>
      <c r="F210" s="91">
        <f ca="1">COUNTIF($D209:INDIRECT("$D" &amp;  SUM(ROW()-1,'03.Muestra'!$D$45)-1),F209)</f>
        <v>0</v>
      </c>
      <c r="G210" s="91">
        <f ca="1">COUNTIF($D209:INDIRECT("$D" &amp;  SUM(ROW()-1,'03.Muestra'!$D$45)-1),G209)</f>
        <v>0</v>
      </c>
      <c r="H210" s="91">
        <f ca="1">COUNTIF($D209:INDIRECT("$D" &amp;  SUM(ROW()-1,'03.Muestra'!$D$45)-1),H209)</f>
        <v>16</v>
      </c>
      <c r="I210" s="91">
        <f ca="1">COUNTIF($D209:INDIRECT("$D" &amp;  SUM(ROW()-1,'03.Muestra'!$D$45)-1),I209)</f>
        <v>4</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Normativa electoral</v>
      </c>
      <c r="C211" s="85" t="str" cm="1">
        <f t="array" ref="C211">IFERROR(INDEX('03.Muestra'!$F$8:$F$42,SMALL(IF("Página Web"='03.Muestra'!$D$8:$D$42,ROW('03.Muestra'!$F$8:$F$42)-MIN(ROW('03.Muestra'!$D$8:$D$42))+1,""),ROW()-208)),"")</f>
        <v>https://elecciones.comunidad.madrid/es/informacion-electoral/normativa-electoral</v>
      </c>
      <c r="D211" s="99" t="s">
        <v>184</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Calendario electoral</v>
      </c>
      <c r="C212" s="85" t="str" cm="1">
        <f t="array" ref="C212">IFERROR(INDEX('03.Muestra'!$F$8:$F$42,SMALL(IF("Página Web"='03.Muestra'!$D$8:$D$42,ROW('03.Muestra'!$F$8:$F$42)-MIN(ROW('03.Muestra'!$D$8:$D$42))+1,""),ROW()-208)),"")</f>
        <v>https://elecciones.comunidad.madrid/es/informacion-electoral/calendario-electoral</v>
      </c>
      <c r="D212" s="99" t="s">
        <v>184</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Direcciones y teléfonos</v>
      </c>
      <c r="C213" s="85" t="str" cm="1">
        <f t="array" ref="C213">IFERROR(INDEX('03.Muestra'!$F$8:$F$42,SMALL(IF("Página Web"='03.Muestra'!$D$8:$D$42,ROW('03.Muestra'!$F$8:$F$42)-MIN(ROW('03.Muestra'!$D$8:$D$42))+1,""),ROW()-208)),"")</f>
        <v>https://elecciones.comunidad.madrid/es/juntas-electorales/direcciones-telefonos</v>
      </c>
      <c r="D213" s="99" t="s">
        <v>184</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Impresos electrónicos</v>
      </c>
      <c r="C214" s="85" t="str" cm="1">
        <f t="array" ref="C214">IFERROR(INDEX('03.Muestra'!$F$8:$F$42,SMALL(IF("Página Web"='03.Muestra'!$D$8:$D$42,ROW('03.Muestra'!$F$8:$F$42)-MIN(ROW('03.Muestra'!$D$8:$D$42))+1,""),ROW()-208)),"")</f>
        <v>https://elecciones.comunidad.madrid/es/formaciones-politicas/impresos-electronicos</v>
      </c>
      <c r="D214" s="99" t="s">
        <v>184</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Listado de candidaturas</v>
      </c>
      <c r="C215" s="85" t="str" cm="1">
        <f t="array" ref="C215">IFERROR(INDEX('03.Muestra'!$F$8:$F$42,SMALL(IF("Página Web"='03.Muestra'!$D$8:$D$42,ROW('03.Muestra'!$F$8:$F$42)-MIN(ROW('03.Muestra'!$D$8:$D$42))+1,""),ROW()-208)),"")</f>
        <v>https://elecciones.comunidad.madrid/es/formaciones-politicas/listado-candidaturas-proclamadas</v>
      </c>
      <c r="D215" s="99" t="s">
        <v>184</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Partido Feminista de España</v>
      </c>
      <c r="C216" s="85" t="str" cm="1">
        <f t="array" ref="C216">IFERROR(INDEX('03.Muestra'!$F$8:$F$42,SMALL(IF("Página Web"='03.Muestra'!$D$8:$D$42,ROW('03.Muestra'!$F$8:$F$42)-MIN(ROW('03.Muestra'!$D$8:$D$42))+1,""),ROW()-208)),"")</f>
        <v>https://elecciones.comunidad.madrid/es/formaciones-politicas/listado-candidaturas/partido-feminista-espana</v>
      </c>
      <c r="D216" s="99" t="s">
        <v>184</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¿Dónde voto?</v>
      </c>
      <c r="C217" s="85" t="str" cm="1">
        <f t="array" ref="C217">IFERROR(INDEX('03.Muestra'!$F$8:$F$42,SMALL(IF("Página Web"='03.Muestra'!$D$8:$D$42,ROW('03.Muestra'!$F$8:$F$42)-MIN(ROW('03.Muestra'!$D$8:$D$42))+1,""),ROW()-208)),"")</f>
        <v>https://elecciones.comunidad.madrid/es/votar/donde-voto</v>
      </c>
      <c r="D217" s="99" t="s">
        <v>184</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Voto presencial</v>
      </c>
      <c r="C218" s="85" t="str" cm="1">
        <f t="array" ref="C218">IFERROR(INDEX('03.Muestra'!$F$8:$F$42,SMALL(IF("Página Web"='03.Muestra'!$D$8:$D$42,ROW('03.Muestra'!$F$8:$F$42)-MIN(ROW('03.Muestra'!$D$8:$D$42))+1,""),ROW()-208)),"")</f>
        <v>https://elecciones.comunidad.madrid/es/voto-local-electoral/voto-presencial</v>
      </c>
      <c r="D218" s="99" t="s">
        <v>176</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Ciudadanos temporalmente en el extranjero</v>
      </c>
      <c r="C219" s="85" t="str" cm="1">
        <f t="array" ref="C219">IFERROR(INDEX('03.Muestra'!$F$8:$F$42,SMALL(IF("Página Web"='03.Muestra'!$D$8:$D$42,ROW('03.Muestra'!$F$8:$F$42)-MIN(ROW('03.Muestra'!$D$8:$D$42))+1,""),ROW()-208)),"")</f>
        <v>https://elecciones.comunidad.madrid/es/voto-correo/solicitud-voto-temporalmente-ausentes</v>
      </c>
      <c r="D219" s="99" t="s">
        <v>176</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Nuevo votante</v>
      </c>
      <c r="C220" s="85" t="str" cm="1">
        <f t="array" ref="C220">IFERROR(INDEX('03.Muestra'!$F$8:$F$42,SMALL(IF("Página Web"='03.Muestra'!$D$8:$D$42,ROW('03.Muestra'!$F$8:$F$42)-MIN(ROW('03.Muestra'!$D$8:$D$42))+1,""),ROW()-208)),"")</f>
        <v>https://elecciones.comunidad.madrid/es/votar/nuevo-votante</v>
      </c>
      <c r="D220" s="99" t="s">
        <v>176</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5"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Simulación método D'Hondt</v>
      </c>
      <c r="C221" s="85" t="str" cm="1">
        <f t="array" ref="C221">IFERROR(INDEX('03.Muestra'!$F$8:$F$42,SMALL(IF("Página Web"='03.Muestra'!$D$8:$D$42,ROW('03.Muestra'!$F$8:$F$42)-MIN(ROW('03.Muestra'!$D$8:$D$42))+1,""),ROW()-208)),"")</f>
        <v>https://elecciones.comunidad.madrid/es/informacion-util/simulacion-metodo-dhondt</v>
      </c>
      <c r="D221" s="99" t="s">
        <v>184</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5"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Ley D'Hondt</v>
      </c>
      <c r="C222" s="85" t="str" cm="1">
        <f t="array" ref="C222">IFERROR(INDEX('03.Muestra'!$F$8:$F$42,SMALL(IF("Página Web"='03.Muestra'!$D$8:$D$42,ROW('03.Muestra'!$F$8:$F$42)-MIN(ROW('03.Muestra'!$D$8:$D$42))+1,""),ROW()-208)),"")</f>
        <v>https://elecciones.comunidad.madrid/es/resultados/ley_d_hondt</v>
      </c>
      <c r="D222" s="99" t="s">
        <v>184</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5"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Voto por correo elector CERA en España</v>
      </c>
      <c r="C223" s="85" t="str" cm="1">
        <f t="array" ref="C223">IFERROR(INDEX('03.Muestra'!$F$8:$F$42,SMALL(IF("Página Web"='03.Muestra'!$D$8:$D$42,ROW('03.Muestra'!$F$8:$F$42)-MIN(ROW('03.Muestra'!$D$8:$D$42))+1,""),ROW()-208)),"")</f>
        <v>https://elecciones.comunidad.madrid/es/preguntas-frecuentes/voto-correo-electores-residentes-extranjero</v>
      </c>
      <c r="D223" s="99" t="s">
        <v>184</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5"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Contacto</v>
      </c>
      <c r="C224" s="85" t="str" cm="1">
        <f t="array" ref="C224">IFERROR(INDEX('03.Muestra'!$F$8:$F$42,SMALL(IF("Página Web"='03.Muestra'!$D$8:$D$42,ROW('03.Muestra'!$F$8:$F$42)-MIN(ROW('03.Muestra'!$D$8:$D$42))+1,""),ROW()-208)),"")</f>
        <v>https://elecciones.comunidad.madrid/es/buzon-de-sugerencias</v>
      </c>
      <c r="D224" s="99" t="s">
        <v>184</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5"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Buscador</v>
      </c>
      <c r="C225" s="85" t="str" cm="1">
        <f t="array" ref="C225">IFERROR(INDEX('03.Muestra'!$F$8:$F$42,SMALL(IF("Página Web"='03.Muestra'!$D$8:$D$42,ROW('03.Muestra'!$F$8:$F$42)-MIN(ROW('03.Muestra'!$D$8:$D$42))+1,""),ROW()-208)),"")</f>
        <v>https://elecciones.comunidad.madrid/es/search?search_api_fulltext=partido</v>
      </c>
      <c r="D225" s="99" t="s">
        <v>184</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5"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Aviso Legal-Privacidad</v>
      </c>
      <c r="C226" s="85" t="str" cm="1">
        <f t="array" ref="C226">IFERROR(INDEX('03.Muestra'!$F$8:$F$42,SMALL(IF("Página Web"='03.Muestra'!$D$8:$D$42,ROW('03.Muestra'!$F$8:$F$42)-MIN(ROW('03.Muestra'!$D$8:$D$42))+1,""),ROW()-208)),"")</f>
        <v>https://elecciones.comunidad.madrid/es/aviso-legal</v>
      </c>
      <c r="D226" s="99" t="s">
        <v>184</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5"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Mapa Web</v>
      </c>
      <c r="C227" s="85" t="str" cm="1">
        <f t="array" ref="C227">IFERROR(INDEX('03.Muestra'!$F$8:$F$42,SMALL(IF("Página Web"='03.Muestra'!$D$8:$D$42,ROW('03.Muestra'!$F$8:$F$42)-MIN(ROW('03.Muestra'!$D$8:$D$42))+1,""),ROW()-208)),"")</f>
        <v>https://elecciones.comunidad.madrid/es/sitemap</v>
      </c>
      <c r="D227" s="99" t="s">
        <v>184</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5"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Declaracion Accesibilidad</v>
      </c>
      <c r="C228" s="85" t="str" cm="1">
        <f t="array" ref="C228">IFERROR(INDEX('03.Muestra'!$F$8:$F$42,SMALL(IF("Página Web"='03.Muestra'!$D$8:$D$42,ROW('03.Muestra'!$F$8:$F$42)-MIN(ROW('03.Muestra'!$D$8:$D$42))+1,""),ROW()-208)),"")</f>
        <v>https://elecciones.comunidad.madrid/es/accesibilidad</v>
      </c>
      <c r="D228" s="99" t="s">
        <v>184</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5"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5"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5"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181</v>
      </c>
      <c r="B246" s="23" t="s">
        <v>173</v>
      </c>
      <c r="C246" s="24" t="s">
        <v>220</v>
      </c>
      <c r="D246" s="25" t="s">
        <v>183</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https://elecciones.comunidad.madrid/es</v>
      </c>
      <c r="D247" s="99" t="s">
        <v>184</v>
      </c>
      <c r="E247" s="79" t="str">
        <f t="shared" ref="E247:E281" si="12">IF(D247&lt;&gt;"",IF(AND(B247&lt;&gt;"",C247&lt;&gt;""),"","ERR"),"")</f>
        <v/>
      </c>
      <c r="F247" s="86" t="s">
        <v>185</v>
      </c>
      <c r="G247" s="87" t="s">
        <v>186</v>
      </c>
      <c r="H247" s="88" t="s">
        <v>184</v>
      </c>
      <c r="I247" s="89" t="s">
        <v>176</v>
      </c>
      <c r="J247" s="90" t="s">
        <v>174</v>
      </c>
      <c r="K247" s="179" t="s">
        <v>180</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Resultado Elecciones 28M 2023</v>
      </c>
      <c r="C248" s="85" t="str" cm="1">
        <f t="array" ref="C248">IFERROR(INDEX('03.Muestra'!$F$8:$F$42,SMALL(IF("Página Web"='03.Muestra'!$D$8:$D$42,ROW('03.Muestra'!$F$8:$F$42)-MIN(ROW('03.Muestra'!$D$8:$D$42))+1,""),ROW()-246)),"")</f>
        <v>https://elecciones.comunidad.madrid/es/resultados-elecciones-asamblea-madrid-28m-2023</v>
      </c>
      <c r="D248" s="99" t="s">
        <v>184</v>
      </c>
      <c r="E248" s="79" t="str">
        <f t="shared" si="12"/>
        <v/>
      </c>
      <c r="F248" s="91">
        <f ca="1">COUNTIF($D247:INDIRECT("$D" &amp;  SUM(ROW()-1,'03.Muestra'!$D$45)-1),F247)</f>
        <v>0</v>
      </c>
      <c r="G248" s="91">
        <f ca="1">COUNTIF($D247:INDIRECT("$D" &amp;  SUM(ROW()-1,'03.Muestra'!$D$45)-1),G247)</f>
        <v>0</v>
      </c>
      <c r="H248" s="91">
        <f ca="1">COUNTIF($D247:INDIRECT("$D" &amp;  SUM(ROW()-1,'03.Muestra'!$D$45)-1),H247)</f>
        <v>20</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Normativa electoral</v>
      </c>
      <c r="C249" s="85" t="str" cm="1">
        <f t="array" ref="C249">IFERROR(INDEX('03.Muestra'!$F$8:$F$42,SMALL(IF("Página Web"='03.Muestra'!$D$8:$D$42,ROW('03.Muestra'!$F$8:$F$42)-MIN(ROW('03.Muestra'!$D$8:$D$42))+1,""),ROW()-246)),"")</f>
        <v>https://elecciones.comunidad.madrid/es/informacion-electoral/normativa-electoral</v>
      </c>
      <c r="D249" s="99" t="s">
        <v>184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Calendario electoral</v>
      </c>
      <c r="C250" s="85" t="str" cm="1">
        <f t="array" ref="C250">IFERROR(INDEX('03.Muestra'!$F$8:$F$42,SMALL(IF("Página Web"='03.Muestra'!$D$8:$D$42,ROW('03.Muestra'!$F$8:$F$42)-MIN(ROW('03.Muestra'!$D$8:$D$42))+1,""),ROW()-246)),"")</f>
        <v>https://elecciones.comunidad.madrid/es/informacion-electoral/calendario-electoral</v>
      </c>
      <c r="D250" s="99" t="s">
        <v>184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Direcciones y teléfonos</v>
      </c>
      <c r="C251" s="85" t="str" cm="1">
        <f t="array" ref="C251">IFERROR(INDEX('03.Muestra'!$F$8:$F$42,SMALL(IF("Página Web"='03.Muestra'!$D$8:$D$42,ROW('03.Muestra'!$F$8:$F$42)-MIN(ROW('03.Muestra'!$D$8:$D$42))+1,""),ROW()-246)),"")</f>
        <v>https://elecciones.comunidad.madrid/es/juntas-electorales/direcciones-telefonos</v>
      </c>
      <c r="D251" s="99" t="s">
        <v>184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Impresos electrónicos</v>
      </c>
      <c r="C252" s="85" t="str" cm="1">
        <f t="array" ref="C252">IFERROR(INDEX('03.Muestra'!$F$8:$F$42,SMALL(IF("Página Web"='03.Muestra'!$D$8:$D$42,ROW('03.Muestra'!$F$8:$F$42)-MIN(ROW('03.Muestra'!$D$8:$D$42))+1,""),ROW()-246)),"")</f>
        <v>https://elecciones.comunidad.madrid/es/formaciones-politicas/impresos-electronicos</v>
      </c>
      <c r="D252" s="99" t="s">
        <v>184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Listado de candidaturas</v>
      </c>
      <c r="C253" s="85" t="str" cm="1">
        <f t="array" ref="C253">IFERROR(INDEX('03.Muestra'!$F$8:$F$42,SMALL(IF("Página Web"='03.Muestra'!$D$8:$D$42,ROW('03.Muestra'!$F$8:$F$42)-MIN(ROW('03.Muestra'!$D$8:$D$42))+1,""),ROW()-246)),"")</f>
        <v>https://elecciones.comunidad.madrid/es/formaciones-politicas/listado-candidaturas-proclamadas</v>
      </c>
      <c r="D253" s="99" t="s">
        <v>184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Partido Feminista de España</v>
      </c>
      <c r="C254" s="85" t="str" cm="1">
        <f t="array" ref="C254">IFERROR(INDEX('03.Muestra'!$F$8:$F$42,SMALL(IF("Página Web"='03.Muestra'!$D$8:$D$42,ROW('03.Muestra'!$F$8:$F$42)-MIN(ROW('03.Muestra'!$D$8:$D$42))+1,""),ROW()-246)),"")</f>
        <v>https://elecciones.comunidad.madrid/es/formaciones-politicas/listado-candidaturas/partido-feminista-espana</v>
      </c>
      <c r="D254" s="99" t="s">
        <v>184</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¿Dónde voto?</v>
      </c>
      <c r="C255" s="85" t="str" cm="1">
        <f t="array" ref="C255">IFERROR(INDEX('03.Muestra'!$F$8:$F$42,SMALL(IF("Página Web"='03.Muestra'!$D$8:$D$42,ROW('03.Muestra'!$F$8:$F$42)-MIN(ROW('03.Muestra'!$D$8:$D$42))+1,""),ROW()-246)),"")</f>
        <v>https://elecciones.comunidad.madrid/es/votar/donde-voto</v>
      </c>
      <c r="D255" s="99" t="s">
        <v>184</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Voto presencial</v>
      </c>
      <c r="C256" s="85" t="str" cm="1">
        <f t="array" ref="C256">IFERROR(INDEX('03.Muestra'!$F$8:$F$42,SMALL(IF("Página Web"='03.Muestra'!$D$8:$D$42,ROW('03.Muestra'!$F$8:$F$42)-MIN(ROW('03.Muestra'!$D$8:$D$42))+1,""),ROW()-246)),"")</f>
        <v>https://elecciones.comunidad.madrid/es/voto-local-electoral/voto-presencial</v>
      </c>
      <c r="D256" s="99" t="s">
        <v>184</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Ciudadanos temporalmente en el extranjero</v>
      </c>
      <c r="C257" s="85" t="str" cm="1">
        <f t="array" ref="C257">IFERROR(INDEX('03.Muestra'!$F$8:$F$42,SMALL(IF("Página Web"='03.Muestra'!$D$8:$D$42,ROW('03.Muestra'!$F$8:$F$42)-MIN(ROW('03.Muestra'!$D$8:$D$42))+1,""),ROW()-246)),"")</f>
        <v>https://elecciones.comunidad.madrid/es/voto-correo/solicitud-voto-temporalmente-ausentes</v>
      </c>
      <c r="D257" s="99" t="s">
        <v>184</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Nuevo votante</v>
      </c>
      <c r="C258" s="85" t="str" cm="1">
        <f t="array" ref="C258">IFERROR(INDEX('03.Muestra'!$F$8:$F$42,SMALL(IF("Página Web"='03.Muestra'!$D$8:$D$42,ROW('03.Muestra'!$F$8:$F$42)-MIN(ROW('03.Muestra'!$D$8:$D$42))+1,""),ROW()-246)),"")</f>
        <v>https://elecciones.comunidad.madrid/es/votar/nuevo-votante</v>
      </c>
      <c r="D258" s="99" t="s">
        <v>184</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5"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Simulación método D'Hondt</v>
      </c>
      <c r="C259" s="85" t="str" cm="1">
        <f t="array" ref="C259">IFERROR(INDEX('03.Muestra'!$F$8:$F$42,SMALL(IF("Página Web"='03.Muestra'!$D$8:$D$42,ROW('03.Muestra'!$F$8:$F$42)-MIN(ROW('03.Muestra'!$D$8:$D$42))+1,""),ROW()-246)),"")</f>
        <v>https://elecciones.comunidad.madrid/es/informacion-util/simulacion-metodo-dhondt</v>
      </c>
      <c r="D259" s="99" t="s">
        <v>184</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5"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Ley D'Hondt</v>
      </c>
      <c r="C260" s="85" t="str" cm="1">
        <f t="array" ref="C260">IFERROR(INDEX('03.Muestra'!$F$8:$F$42,SMALL(IF("Página Web"='03.Muestra'!$D$8:$D$42,ROW('03.Muestra'!$F$8:$F$42)-MIN(ROW('03.Muestra'!$D$8:$D$42))+1,""),ROW()-246)),"")</f>
        <v>https://elecciones.comunidad.madrid/es/resultados/ley_d_hondt</v>
      </c>
      <c r="D260" s="99" t="s">
        <v>184</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5"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Voto por correo elector CERA en España</v>
      </c>
      <c r="C261" s="85" t="str" cm="1">
        <f t="array" ref="C261">IFERROR(INDEX('03.Muestra'!$F$8:$F$42,SMALL(IF("Página Web"='03.Muestra'!$D$8:$D$42,ROW('03.Muestra'!$F$8:$F$42)-MIN(ROW('03.Muestra'!$D$8:$D$42))+1,""),ROW()-246)),"")</f>
        <v>https://elecciones.comunidad.madrid/es/preguntas-frecuentes/voto-correo-electores-residentes-extranjero</v>
      </c>
      <c r="D261" s="99" t="s">
        <v>184</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5"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Contacto</v>
      </c>
      <c r="C262" s="85" t="str" cm="1">
        <f t="array" ref="C262">IFERROR(INDEX('03.Muestra'!$F$8:$F$42,SMALL(IF("Página Web"='03.Muestra'!$D$8:$D$42,ROW('03.Muestra'!$F$8:$F$42)-MIN(ROW('03.Muestra'!$D$8:$D$42))+1,""),ROW()-246)),"")</f>
        <v>https://elecciones.comunidad.madrid/es/buzon-de-sugerencias</v>
      </c>
      <c r="D262" s="99" t="s">
        <v>184</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5"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Buscador</v>
      </c>
      <c r="C263" s="85" t="str" cm="1">
        <f t="array" ref="C263">IFERROR(INDEX('03.Muestra'!$F$8:$F$42,SMALL(IF("Página Web"='03.Muestra'!$D$8:$D$42,ROW('03.Muestra'!$F$8:$F$42)-MIN(ROW('03.Muestra'!$D$8:$D$42))+1,""),ROW()-246)),"")</f>
        <v>https://elecciones.comunidad.madrid/es/search?search_api_fulltext=partido</v>
      </c>
      <c r="D263" s="99" t="s">
        <v>184</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5" customHeight="1">
      <c r="A264" s="39" cm="1">
        <f t="array" ref="A264">IFERROR(INDEX('03.Muestra'!$B$8:$B$42,SMALL(IF("Página Web"='03.Muestra'!$D$8:$D$42,ROW('03.Muestra'!$B$8:$B$42)-MIN(ROW('03.Muestra'!$D$8:$D$42))+1,""),ROW()-246)),"")</f>
        <v>18</v>
      </c>
      <c r="B264" s="85" t="str" cm="1">
        <f t="array" ref="B264">IFERROR(INDEX('03.Muestra'!$C$8:$C$42,SMALL(IF("Página Web"='03.Muestra'!$D$8:$D$42,ROW('03.Muestra'!$C$8:$C$42)-MIN(ROW('03.Muestra'!$D$8:$D$42))+1,""),ROW()-246)),"")</f>
        <v>Aviso Legal-Privacidad</v>
      </c>
      <c r="C264" s="85" t="str" cm="1">
        <f t="array" ref="C264">IFERROR(INDEX('03.Muestra'!$F$8:$F$42,SMALL(IF("Página Web"='03.Muestra'!$D$8:$D$42,ROW('03.Muestra'!$F$8:$F$42)-MIN(ROW('03.Muestra'!$D$8:$D$42))+1,""),ROW()-246)),"")</f>
        <v>https://elecciones.comunidad.madrid/es/aviso-legal</v>
      </c>
      <c r="D264" s="99" t="s">
        <v>184</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5" customHeight="1">
      <c r="A265" s="39" cm="1">
        <f t="array" ref="A265">IFERROR(INDEX('03.Muestra'!$B$8:$B$42,SMALL(IF("Página Web"='03.Muestra'!$D$8:$D$42,ROW('03.Muestra'!$B$8:$B$42)-MIN(ROW('03.Muestra'!$D$8:$D$42))+1,""),ROW()-246)),"")</f>
        <v>19</v>
      </c>
      <c r="B265" s="85" t="str" cm="1">
        <f t="array" ref="B265">IFERROR(INDEX('03.Muestra'!$C$8:$C$42,SMALL(IF("Página Web"='03.Muestra'!$D$8:$D$42,ROW('03.Muestra'!$C$8:$C$42)-MIN(ROW('03.Muestra'!$D$8:$D$42))+1,""),ROW()-246)),"")</f>
        <v>Mapa Web</v>
      </c>
      <c r="C265" s="85" t="str" cm="1">
        <f t="array" ref="C265">IFERROR(INDEX('03.Muestra'!$F$8:$F$42,SMALL(IF("Página Web"='03.Muestra'!$D$8:$D$42,ROW('03.Muestra'!$F$8:$F$42)-MIN(ROW('03.Muestra'!$D$8:$D$42))+1,""),ROW()-246)),"")</f>
        <v>https://elecciones.comunidad.madrid/es/sitemap</v>
      </c>
      <c r="D265" s="99" t="s">
        <v>184</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5" customHeight="1">
      <c r="A266" s="39" cm="1">
        <f t="array" ref="A266">IFERROR(INDEX('03.Muestra'!$B$8:$B$42,SMALL(IF("Página Web"='03.Muestra'!$D$8:$D$42,ROW('03.Muestra'!$B$8:$B$42)-MIN(ROW('03.Muestra'!$D$8:$D$42))+1,""),ROW()-246)),"")</f>
        <v>20</v>
      </c>
      <c r="B266" s="85" t="str" cm="1">
        <f t="array" ref="B266">IFERROR(INDEX('03.Muestra'!$C$8:$C$42,SMALL(IF("Página Web"='03.Muestra'!$D$8:$D$42,ROW('03.Muestra'!$C$8:$C$42)-MIN(ROW('03.Muestra'!$D$8:$D$42))+1,""),ROW()-246)),"")</f>
        <v>Declaracion Accesibilidad</v>
      </c>
      <c r="C266" s="85" t="str" cm="1">
        <f t="array" ref="C266">IFERROR(INDEX('03.Muestra'!$F$8:$F$42,SMALL(IF("Página Web"='03.Muestra'!$D$8:$D$42,ROW('03.Muestra'!$F$8:$F$42)-MIN(ROW('03.Muestra'!$D$8:$D$42))+1,""),ROW()-246)),"")</f>
        <v>https://elecciones.comunidad.madrid/es/accesibilidad</v>
      </c>
      <c r="D266" s="99" t="s">
        <v>184</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5"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ref="D267:D281" si="13">IF(AND(B267&lt;&gt;"",C267&lt;&gt;""),"N/T","")</f>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5"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5"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181</v>
      </c>
      <c r="B284" s="23" t="s">
        <v>173</v>
      </c>
      <c r="C284" s="24" t="s">
        <v>221</v>
      </c>
      <c r="D284" s="25" t="s">
        <v>183</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https://elecciones.comunidad.madrid/es</v>
      </c>
      <c r="D285" s="99" t="s">
        <v>184</v>
      </c>
      <c r="E285" s="79" t="str">
        <f t="shared" ref="E285:E319" si="14">IF(D285&lt;&gt;"",IF(AND(B285&lt;&gt;"",C285&lt;&gt;""),"","ERR"),"")</f>
        <v/>
      </c>
      <c r="F285" s="86" t="s">
        <v>185</v>
      </c>
      <c r="G285" s="87" t="s">
        <v>186</v>
      </c>
      <c r="H285" s="88" t="s">
        <v>184</v>
      </c>
      <c r="I285" s="89" t="s">
        <v>176</v>
      </c>
      <c r="J285" s="90" t="s">
        <v>174</v>
      </c>
      <c r="K285" s="179" t="s">
        <v>180</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Resultado Elecciones 28M 2023</v>
      </c>
      <c r="C286" s="85" t="str" cm="1">
        <f t="array" ref="C286">IFERROR(INDEX('03.Muestra'!$F$8:$F$42,SMALL(IF("Página Web"='03.Muestra'!$D$8:$D$42,ROW('03.Muestra'!$F$8:$F$42)-MIN(ROW('03.Muestra'!$D$8:$D$42))+1,""),ROW()-284)),"")</f>
        <v>https://elecciones.comunidad.madrid/es/resultados-elecciones-asamblea-madrid-28m-2023</v>
      </c>
      <c r="D286" s="99" t="s">
        <v>184</v>
      </c>
      <c r="E286" s="79" t="str">
        <f t="shared" si="14"/>
        <v/>
      </c>
      <c r="F286" s="91">
        <f ca="1">COUNTIF($D285:INDIRECT("$D" &amp;  SUM(ROW()-1,'03.Muestra'!$D$45)-1),F285)</f>
        <v>0</v>
      </c>
      <c r="G286" s="91">
        <f ca="1">COUNTIF($D285:INDIRECT("$D" &amp;  SUM(ROW()-1,'03.Muestra'!$D$45)-1),G285)</f>
        <v>0</v>
      </c>
      <c r="H286" s="91">
        <f ca="1">COUNTIF($D285:INDIRECT("$D" &amp;  SUM(ROW()-1,'03.Muestra'!$D$45)-1),H285)</f>
        <v>20</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Normativa electoral</v>
      </c>
      <c r="C287" s="85" t="str" cm="1">
        <f t="array" ref="C287">IFERROR(INDEX('03.Muestra'!$F$8:$F$42,SMALL(IF("Página Web"='03.Muestra'!$D$8:$D$42,ROW('03.Muestra'!$F$8:$F$42)-MIN(ROW('03.Muestra'!$D$8:$D$42))+1,""),ROW()-284)),"")</f>
        <v>https://elecciones.comunidad.madrid/es/informacion-electoral/normativa-electoral</v>
      </c>
      <c r="D287" s="99" t="s">
        <v>184</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Calendario electoral</v>
      </c>
      <c r="C288" s="85" t="str" cm="1">
        <f t="array" ref="C288">IFERROR(INDEX('03.Muestra'!$F$8:$F$42,SMALL(IF("Página Web"='03.Muestra'!$D$8:$D$42,ROW('03.Muestra'!$F$8:$F$42)-MIN(ROW('03.Muestra'!$D$8:$D$42))+1,""),ROW()-284)),"")</f>
        <v>https://elecciones.comunidad.madrid/es/informacion-electoral/calendario-electoral</v>
      </c>
      <c r="D288" s="99" t="s">
        <v>184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Direcciones y teléfonos</v>
      </c>
      <c r="C289" s="85" t="str" cm="1">
        <f t="array" ref="C289">IFERROR(INDEX('03.Muestra'!$F$8:$F$42,SMALL(IF("Página Web"='03.Muestra'!$D$8:$D$42,ROW('03.Muestra'!$F$8:$F$42)-MIN(ROW('03.Muestra'!$D$8:$D$42))+1,""),ROW()-284)),"")</f>
        <v>https://elecciones.comunidad.madrid/es/juntas-electorales/direcciones-telefonos</v>
      </c>
      <c r="D289" s="99" t="s">
        <v>184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Impresos electrónicos</v>
      </c>
      <c r="C290" s="85" t="str" cm="1">
        <f t="array" ref="C290">IFERROR(INDEX('03.Muestra'!$F$8:$F$42,SMALL(IF("Página Web"='03.Muestra'!$D$8:$D$42,ROW('03.Muestra'!$F$8:$F$42)-MIN(ROW('03.Muestra'!$D$8:$D$42))+1,""),ROW()-284)),"")</f>
        <v>https://elecciones.comunidad.madrid/es/formaciones-politicas/impresos-electronicos</v>
      </c>
      <c r="D290" s="99" t="s">
        <v>184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Listado de candidaturas</v>
      </c>
      <c r="C291" s="85" t="str" cm="1">
        <f t="array" ref="C291">IFERROR(INDEX('03.Muestra'!$F$8:$F$42,SMALL(IF("Página Web"='03.Muestra'!$D$8:$D$42,ROW('03.Muestra'!$F$8:$F$42)-MIN(ROW('03.Muestra'!$D$8:$D$42))+1,""),ROW()-284)),"")</f>
        <v>https://elecciones.comunidad.madrid/es/formaciones-politicas/listado-candidaturas-proclamadas</v>
      </c>
      <c r="D291" s="99" t="s">
        <v>184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Partido Feminista de España</v>
      </c>
      <c r="C292" s="85" t="str" cm="1">
        <f t="array" ref="C292">IFERROR(INDEX('03.Muestra'!$F$8:$F$42,SMALL(IF("Página Web"='03.Muestra'!$D$8:$D$42,ROW('03.Muestra'!$F$8:$F$42)-MIN(ROW('03.Muestra'!$D$8:$D$42))+1,""),ROW()-284)),"")</f>
        <v>https://elecciones.comunidad.madrid/es/formaciones-politicas/listado-candidaturas/partido-feminista-espana</v>
      </c>
      <c r="D292" s="99" t="s">
        <v>184</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¿Dónde voto?</v>
      </c>
      <c r="C293" s="85" t="str" cm="1">
        <f t="array" ref="C293">IFERROR(INDEX('03.Muestra'!$F$8:$F$42,SMALL(IF("Página Web"='03.Muestra'!$D$8:$D$42,ROW('03.Muestra'!$F$8:$F$42)-MIN(ROW('03.Muestra'!$D$8:$D$42))+1,""),ROW()-284)),"")</f>
        <v>https://elecciones.comunidad.madrid/es/votar/donde-voto</v>
      </c>
      <c r="D293" s="99" t="s">
        <v>184</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Voto presencial</v>
      </c>
      <c r="C294" s="85" t="str" cm="1">
        <f t="array" ref="C294">IFERROR(INDEX('03.Muestra'!$F$8:$F$42,SMALL(IF("Página Web"='03.Muestra'!$D$8:$D$42,ROW('03.Muestra'!$F$8:$F$42)-MIN(ROW('03.Muestra'!$D$8:$D$42))+1,""),ROW()-284)),"")</f>
        <v>https://elecciones.comunidad.madrid/es/voto-local-electoral/voto-presencial</v>
      </c>
      <c r="D294" s="99" t="s">
        <v>184</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Ciudadanos temporalmente en el extranjero</v>
      </c>
      <c r="C295" s="85" t="str" cm="1">
        <f t="array" ref="C295">IFERROR(INDEX('03.Muestra'!$F$8:$F$42,SMALL(IF("Página Web"='03.Muestra'!$D$8:$D$42,ROW('03.Muestra'!$F$8:$F$42)-MIN(ROW('03.Muestra'!$D$8:$D$42))+1,""),ROW()-284)),"")</f>
        <v>https://elecciones.comunidad.madrid/es/voto-correo/solicitud-voto-temporalmente-ausentes</v>
      </c>
      <c r="D295" s="99" t="s">
        <v>184</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Nuevo votante</v>
      </c>
      <c r="C296" s="85" t="str" cm="1">
        <f t="array" ref="C296">IFERROR(INDEX('03.Muestra'!$F$8:$F$42,SMALL(IF("Página Web"='03.Muestra'!$D$8:$D$42,ROW('03.Muestra'!$F$8:$F$42)-MIN(ROW('03.Muestra'!$D$8:$D$42))+1,""),ROW()-284)),"")</f>
        <v>https://elecciones.comunidad.madrid/es/votar/nuevo-votante</v>
      </c>
      <c r="D296" s="99" t="s">
        <v>184</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5"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Simulación método D'Hondt</v>
      </c>
      <c r="C297" s="85" t="str" cm="1">
        <f t="array" ref="C297">IFERROR(INDEX('03.Muestra'!$F$8:$F$42,SMALL(IF("Página Web"='03.Muestra'!$D$8:$D$42,ROW('03.Muestra'!$F$8:$F$42)-MIN(ROW('03.Muestra'!$D$8:$D$42))+1,""),ROW()-284)),"")</f>
        <v>https://elecciones.comunidad.madrid/es/informacion-util/simulacion-metodo-dhondt</v>
      </c>
      <c r="D297" s="99" t="s">
        <v>184</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5"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Ley D'Hondt</v>
      </c>
      <c r="C298" s="85" t="str" cm="1">
        <f t="array" ref="C298">IFERROR(INDEX('03.Muestra'!$F$8:$F$42,SMALL(IF("Página Web"='03.Muestra'!$D$8:$D$42,ROW('03.Muestra'!$F$8:$F$42)-MIN(ROW('03.Muestra'!$D$8:$D$42))+1,""),ROW()-284)),"")</f>
        <v>https://elecciones.comunidad.madrid/es/resultados/ley_d_hondt</v>
      </c>
      <c r="D298" s="99" t="s">
        <v>184</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5"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Voto por correo elector CERA en España</v>
      </c>
      <c r="C299" s="85" t="str" cm="1">
        <f t="array" ref="C299">IFERROR(INDEX('03.Muestra'!$F$8:$F$42,SMALL(IF("Página Web"='03.Muestra'!$D$8:$D$42,ROW('03.Muestra'!$F$8:$F$42)-MIN(ROW('03.Muestra'!$D$8:$D$42))+1,""),ROW()-284)),"")</f>
        <v>https://elecciones.comunidad.madrid/es/preguntas-frecuentes/voto-correo-electores-residentes-extranjero</v>
      </c>
      <c r="D299" s="99" t="s">
        <v>184</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5"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Contacto</v>
      </c>
      <c r="C300" s="85" t="str" cm="1">
        <f t="array" ref="C300">IFERROR(INDEX('03.Muestra'!$F$8:$F$42,SMALL(IF("Página Web"='03.Muestra'!$D$8:$D$42,ROW('03.Muestra'!$F$8:$F$42)-MIN(ROW('03.Muestra'!$D$8:$D$42))+1,""),ROW()-284)),"")</f>
        <v>https://elecciones.comunidad.madrid/es/buzon-de-sugerencias</v>
      </c>
      <c r="D300" s="99" t="s">
        <v>184</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5"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Buscador</v>
      </c>
      <c r="C301" s="85" t="str" cm="1">
        <f t="array" ref="C301">IFERROR(INDEX('03.Muestra'!$F$8:$F$42,SMALL(IF("Página Web"='03.Muestra'!$D$8:$D$42,ROW('03.Muestra'!$F$8:$F$42)-MIN(ROW('03.Muestra'!$D$8:$D$42))+1,""),ROW()-284)),"")</f>
        <v>https://elecciones.comunidad.madrid/es/search?search_api_fulltext=partido</v>
      </c>
      <c r="D301" s="99" t="s">
        <v>184</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5" customHeight="1">
      <c r="A302" s="39" cm="1">
        <f t="array" ref="A302">IFERROR(INDEX('03.Muestra'!$B$8:$B$42,SMALL(IF("Página Web"='03.Muestra'!$D$8:$D$42,ROW('03.Muestra'!$B$8:$B$42)-MIN(ROW('03.Muestra'!$D$8:$D$42))+1,""),ROW()-284)),"")</f>
        <v>18</v>
      </c>
      <c r="B302" s="85" t="str" cm="1">
        <f t="array" ref="B302">IFERROR(INDEX('03.Muestra'!$C$8:$C$42,SMALL(IF("Página Web"='03.Muestra'!$D$8:$D$42,ROW('03.Muestra'!$C$8:$C$42)-MIN(ROW('03.Muestra'!$D$8:$D$42))+1,""),ROW()-284)),"")</f>
        <v>Aviso Legal-Privacidad</v>
      </c>
      <c r="C302" s="85" t="str" cm="1">
        <f t="array" ref="C302">IFERROR(INDEX('03.Muestra'!$F$8:$F$42,SMALL(IF("Página Web"='03.Muestra'!$D$8:$D$42,ROW('03.Muestra'!$F$8:$F$42)-MIN(ROW('03.Muestra'!$D$8:$D$42))+1,""),ROW()-284)),"")</f>
        <v>https://elecciones.comunidad.madrid/es/aviso-legal</v>
      </c>
      <c r="D302" s="99" t="s">
        <v>184</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5" customHeight="1">
      <c r="A303" s="39" cm="1">
        <f t="array" ref="A303">IFERROR(INDEX('03.Muestra'!$B$8:$B$42,SMALL(IF("Página Web"='03.Muestra'!$D$8:$D$42,ROW('03.Muestra'!$B$8:$B$42)-MIN(ROW('03.Muestra'!$D$8:$D$42))+1,""),ROW()-284)),"")</f>
        <v>19</v>
      </c>
      <c r="B303" s="85" t="str" cm="1">
        <f t="array" ref="B303">IFERROR(INDEX('03.Muestra'!$C$8:$C$42,SMALL(IF("Página Web"='03.Muestra'!$D$8:$D$42,ROW('03.Muestra'!$C$8:$C$42)-MIN(ROW('03.Muestra'!$D$8:$D$42))+1,""),ROW()-284)),"")</f>
        <v>Mapa Web</v>
      </c>
      <c r="C303" s="85" t="str" cm="1">
        <f t="array" ref="C303">IFERROR(INDEX('03.Muestra'!$F$8:$F$42,SMALL(IF("Página Web"='03.Muestra'!$D$8:$D$42,ROW('03.Muestra'!$F$8:$F$42)-MIN(ROW('03.Muestra'!$D$8:$D$42))+1,""),ROW()-284)),"")</f>
        <v>https://elecciones.comunidad.madrid/es/sitemap</v>
      </c>
      <c r="D303" s="99" t="s">
        <v>184</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5" customHeight="1">
      <c r="A304" s="39" cm="1">
        <f t="array" ref="A304">IFERROR(INDEX('03.Muestra'!$B$8:$B$42,SMALL(IF("Página Web"='03.Muestra'!$D$8:$D$42,ROW('03.Muestra'!$B$8:$B$42)-MIN(ROW('03.Muestra'!$D$8:$D$42))+1,""),ROW()-284)),"")</f>
        <v>20</v>
      </c>
      <c r="B304" s="85" t="str" cm="1">
        <f t="array" ref="B304">IFERROR(INDEX('03.Muestra'!$C$8:$C$42,SMALL(IF("Página Web"='03.Muestra'!$D$8:$D$42,ROW('03.Muestra'!$C$8:$C$42)-MIN(ROW('03.Muestra'!$D$8:$D$42))+1,""),ROW()-284)),"")</f>
        <v>Declaracion Accesibilidad</v>
      </c>
      <c r="C304" s="85" t="str" cm="1">
        <f t="array" ref="C304">IFERROR(INDEX('03.Muestra'!$F$8:$F$42,SMALL(IF("Página Web"='03.Muestra'!$D$8:$D$42,ROW('03.Muestra'!$F$8:$F$42)-MIN(ROW('03.Muestra'!$D$8:$D$42))+1,""),ROW()-284)),"")</f>
        <v>https://elecciones.comunidad.madrid/es/accesibilidad</v>
      </c>
      <c r="D304" s="99" t="s">
        <v>184</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5"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ref="D305:D319" si="15">IF(AND(B305&lt;&gt;"",C305&lt;&gt;""),"N/T","")</f>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5"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5"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181</v>
      </c>
      <c r="B322" s="23" t="s">
        <v>173</v>
      </c>
      <c r="C322" s="24" t="s">
        <v>222</v>
      </c>
      <c r="D322" s="25" t="s">
        <v>183</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https://elecciones.comunidad.madrid/es</v>
      </c>
      <c r="D323" s="99" t="s">
        <v>176</v>
      </c>
      <c r="E323" s="79" t="str">
        <f t="shared" ref="E323:E357" si="16">IF(D323&lt;&gt;"",IF(AND(B323&lt;&gt;"",C323&lt;&gt;""),"","ERR"),"")</f>
        <v/>
      </c>
      <c r="F323" s="86" t="s">
        <v>185</v>
      </c>
      <c r="G323" s="87" t="s">
        <v>186</v>
      </c>
      <c r="H323" s="88" t="s">
        <v>184</v>
      </c>
      <c r="I323" s="89" t="s">
        <v>176</v>
      </c>
      <c r="J323" s="90" t="s">
        <v>174</v>
      </c>
      <c r="K323" s="179" t="s">
        <v>180</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Resultado Elecciones 28M 2023</v>
      </c>
      <c r="C324" s="85" t="str" cm="1">
        <f t="array" ref="C324">IFERROR(INDEX('03.Muestra'!$F$8:$F$42,SMALL(IF("Página Web"='03.Muestra'!$D$8:$D$42,ROW('03.Muestra'!$F$8:$F$42)-MIN(ROW('03.Muestra'!$D$8:$D$42))+1,""),ROW()-322)),"")</f>
        <v>https://elecciones.comunidad.madrid/es/resultados-elecciones-asamblea-madrid-28m-2023</v>
      </c>
      <c r="D324" s="99" t="s">
        <v>184</v>
      </c>
      <c r="E324" s="79" t="str">
        <f t="shared" si="16"/>
        <v/>
      </c>
      <c r="F324" s="91">
        <f ca="1">COUNTIF($D323:INDIRECT("$D" &amp;  SUM(ROW()-1,'03.Muestra'!$D$45)-1),F323)</f>
        <v>0</v>
      </c>
      <c r="G324" s="91">
        <f ca="1">COUNTIF($D323:INDIRECT("$D" &amp;  SUM(ROW()-1,'03.Muestra'!$D$45)-1),G323)</f>
        <v>0</v>
      </c>
      <c r="H324" s="91">
        <f ca="1">COUNTIF($D323:INDIRECT("$D" &amp;  SUM(ROW()-1,'03.Muestra'!$D$45)-1),H323)</f>
        <v>16</v>
      </c>
      <c r="I324" s="91">
        <f ca="1">COUNTIF($D323:INDIRECT("$D" &amp;  SUM(ROW()-1,'03.Muestra'!$D$45)-1),I323)</f>
        <v>4</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Normativa electoral</v>
      </c>
      <c r="C325" s="85" t="str" cm="1">
        <f t="array" ref="C325">IFERROR(INDEX('03.Muestra'!$F$8:$F$42,SMALL(IF("Página Web"='03.Muestra'!$D$8:$D$42,ROW('03.Muestra'!$F$8:$F$42)-MIN(ROW('03.Muestra'!$D$8:$D$42))+1,""),ROW()-322)),"")</f>
        <v>https://elecciones.comunidad.madrid/es/informacion-electoral/normativa-electoral</v>
      </c>
      <c r="D325" s="99" t="s">
        <v>184</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Calendario electoral</v>
      </c>
      <c r="C326" s="85" t="str" cm="1">
        <f t="array" ref="C326">IFERROR(INDEX('03.Muestra'!$F$8:$F$42,SMALL(IF("Página Web"='03.Muestra'!$D$8:$D$42,ROW('03.Muestra'!$F$8:$F$42)-MIN(ROW('03.Muestra'!$D$8:$D$42))+1,""),ROW()-322)),"")</f>
        <v>https://elecciones.comunidad.madrid/es/informacion-electoral/calendario-electoral</v>
      </c>
      <c r="D326" s="99" t="s">
        <v>184</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Direcciones y teléfonos</v>
      </c>
      <c r="C327" s="85" t="str" cm="1">
        <f t="array" ref="C327">IFERROR(INDEX('03.Muestra'!$F$8:$F$42,SMALL(IF("Página Web"='03.Muestra'!$D$8:$D$42,ROW('03.Muestra'!$F$8:$F$42)-MIN(ROW('03.Muestra'!$D$8:$D$42))+1,""),ROW()-322)),"")</f>
        <v>https://elecciones.comunidad.madrid/es/juntas-electorales/direcciones-telefonos</v>
      </c>
      <c r="D327" s="99" t="s">
        <v>184</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Impresos electrónicos</v>
      </c>
      <c r="C328" s="85" t="str" cm="1">
        <f t="array" ref="C328">IFERROR(INDEX('03.Muestra'!$F$8:$F$42,SMALL(IF("Página Web"='03.Muestra'!$D$8:$D$42,ROW('03.Muestra'!$F$8:$F$42)-MIN(ROW('03.Muestra'!$D$8:$D$42))+1,""),ROW()-322)),"")</f>
        <v>https://elecciones.comunidad.madrid/es/formaciones-politicas/impresos-electronicos</v>
      </c>
      <c r="D328" s="99" t="s">
        <v>184</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Listado de candidaturas</v>
      </c>
      <c r="C329" s="85" t="str" cm="1">
        <f t="array" ref="C329">IFERROR(INDEX('03.Muestra'!$F$8:$F$42,SMALL(IF("Página Web"='03.Muestra'!$D$8:$D$42,ROW('03.Muestra'!$F$8:$F$42)-MIN(ROW('03.Muestra'!$D$8:$D$42))+1,""),ROW()-322)),"")</f>
        <v>https://elecciones.comunidad.madrid/es/formaciones-politicas/listado-candidaturas-proclamadas</v>
      </c>
      <c r="D329" s="99" t="s">
        <v>184</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Partido Feminista de España</v>
      </c>
      <c r="C330" s="85" t="str" cm="1">
        <f t="array" ref="C330">IFERROR(INDEX('03.Muestra'!$F$8:$F$42,SMALL(IF("Página Web"='03.Muestra'!$D$8:$D$42,ROW('03.Muestra'!$F$8:$F$42)-MIN(ROW('03.Muestra'!$D$8:$D$42))+1,""),ROW()-322)),"")</f>
        <v>https://elecciones.comunidad.madrid/es/formaciones-politicas/listado-candidaturas/partido-feminista-espana</v>
      </c>
      <c r="D330" s="99" t="s">
        <v>184</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¿Dónde voto?</v>
      </c>
      <c r="C331" s="85" t="str" cm="1">
        <f t="array" ref="C331">IFERROR(INDEX('03.Muestra'!$F$8:$F$42,SMALL(IF("Página Web"='03.Muestra'!$D$8:$D$42,ROW('03.Muestra'!$F$8:$F$42)-MIN(ROW('03.Muestra'!$D$8:$D$42))+1,""),ROW()-322)),"")</f>
        <v>https://elecciones.comunidad.madrid/es/votar/donde-voto</v>
      </c>
      <c r="D331" s="99" t="s">
        <v>184</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Voto presencial</v>
      </c>
      <c r="C332" s="85" t="str" cm="1">
        <f t="array" ref="C332">IFERROR(INDEX('03.Muestra'!$F$8:$F$42,SMALL(IF("Página Web"='03.Muestra'!$D$8:$D$42,ROW('03.Muestra'!$F$8:$F$42)-MIN(ROW('03.Muestra'!$D$8:$D$42))+1,""),ROW()-322)),"")</f>
        <v>https://elecciones.comunidad.madrid/es/voto-local-electoral/voto-presencial</v>
      </c>
      <c r="D332" s="99" t="s">
        <v>176</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Ciudadanos temporalmente en el extranjero</v>
      </c>
      <c r="C333" s="85" t="str" cm="1">
        <f t="array" ref="C333">IFERROR(INDEX('03.Muestra'!$F$8:$F$42,SMALL(IF("Página Web"='03.Muestra'!$D$8:$D$42,ROW('03.Muestra'!$F$8:$F$42)-MIN(ROW('03.Muestra'!$D$8:$D$42))+1,""),ROW()-322)),"")</f>
        <v>https://elecciones.comunidad.madrid/es/voto-correo/solicitud-voto-temporalmente-ausentes</v>
      </c>
      <c r="D333" s="99" t="s">
        <v>176</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Nuevo votante</v>
      </c>
      <c r="C334" s="85" t="str" cm="1">
        <f t="array" ref="C334">IFERROR(INDEX('03.Muestra'!$F$8:$F$42,SMALL(IF("Página Web"='03.Muestra'!$D$8:$D$42,ROW('03.Muestra'!$F$8:$F$42)-MIN(ROW('03.Muestra'!$D$8:$D$42))+1,""),ROW()-322)),"")</f>
        <v>https://elecciones.comunidad.madrid/es/votar/nuevo-votante</v>
      </c>
      <c r="D334" s="99" t="s">
        <v>176</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5"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Simulación método D'Hondt</v>
      </c>
      <c r="C335" s="85" t="str" cm="1">
        <f t="array" ref="C335">IFERROR(INDEX('03.Muestra'!$F$8:$F$42,SMALL(IF("Página Web"='03.Muestra'!$D$8:$D$42,ROW('03.Muestra'!$F$8:$F$42)-MIN(ROW('03.Muestra'!$D$8:$D$42))+1,""),ROW()-322)),"")</f>
        <v>https://elecciones.comunidad.madrid/es/informacion-util/simulacion-metodo-dhondt</v>
      </c>
      <c r="D335" s="99" t="s">
        <v>184</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5"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Ley D'Hondt</v>
      </c>
      <c r="C336" s="85" t="str" cm="1">
        <f t="array" ref="C336">IFERROR(INDEX('03.Muestra'!$F$8:$F$42,SMALL(IF("Página Web"='03.Muestra'!$D$8:$D$42,ROW('03.Muestra'!$F$8:$F$42)-MIN(ROW('03.Muestra'!$D$8:$D$42))+1,""),ROW()-322)),"")</f>
        <v>https://elecciones.comunidad.madrid/es/resultados/ley_d_hondt</v>
      </c>
      <c r="D336" s="99" t="s">
        <v>184</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5"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Voto por correo elector CERA en España</v>
      </c>
      <c r="C337" s="85" t="str" cm="1">
        <f t="array" ref="C337">IFERROR(INDEX('03.Muestra'!$F$8:$F$42,SMALL(IF("Página Web"='03.Muestra'!$D$8:$D$42,ROW('03.Muestra'!$F$8:$F$42)-MIN(ROW('03.Muestra'!$D$8:$D$42))+1,""),ROW()-322)),"")</f>
        <v>https://elecciones.comunidad.madrid/es/preguntas-frecuentes/voto-correo-electores-residentes-extranjero</v>
      </c>
      <c r="D337" s="99" t="s">
        <v>184</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5"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Contacto</v>
      </c>
      <c r="C338" s="85" t="str" cm="1">
        <f t="array" ref="C338">IFERROR(INDEX('03.Muestra'!$F$8:$F$42,SMALL(IF("Página Web"='03.Muestra'!$D$8:$D$42,ROW('03.Muestra'!$F$8:$F$42)-MIN(ROW('03.Muestra'!$D$8:$D$42))+1,""),ROW()-322)),"")</f>
        <v>https://elecciones.comunidad.madrid/es/buzon-de-sugerencias</v>
      </c>
      <c r="D338" s="99" t="s">
        <v>184</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5"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Buscador</v>
      </c>
      <c r="C339" s="85" t="str" cm="1">
        <f t="array" ref="C339">IFERROR(INDEX('03.Muestra'!$F$8:$F$42,SMALL(IF("Página Web"='03.Muestra'!$D$8:$D$42,ROW('03.Muestra'!$F$8:$F$42)-MIN(ROW('03.Muestra'!$D$8:$D$42))+1,""),ROW()-322)),"")</f>
        <v>https://elecciones.comunidad.madrid/es/search?search_api_fulltext=partido</v>
      </c>
      <c r="D339" s="99" t="s">
        <v>184</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5" customHeight="1">
      <c r="A340" s="39" cm="1">
        <f t="array" ref="A340">IFERROR(INDEX('03.Muestra'!$B$8:$B$42,SMALL(IF("Página Web"='03.Muestra'!$D$8:$D$42,ROW('03.Muestra'!$B$8:$B$42)-MIN(ROW('03.Muestra'!$D$8:$D$42))+1,""),ROW()-322)),"")</f>
        <v>18</v>
      </c>
      <c r="B340" s="85" t="str" cm="1">
        <f t="array" ref="B340">IFERROR(INDEX('03.Muestra'!$C$8:$C$42,SMALL(IF("Página Web"='03.Muestra'!$D$8:$D$42,ROW('03.Muestra'!$C$8:$C$42)-MIN(ROW('03.Muestra'!$D$8:$D$42))+1,""),ROW()-322)),"")</f>
        <v>Aviso Legal-Privacidad</v>
      </c>
      <c r="C340" s="85" t="str" cm="1">
        <f t="array" ref="C340">IFERROR(INDEX('03.Muestra'!$F$8:$F$42,SMALL(IF("Página Web"='03.Muestra'!$D$8:$D$42,ROW('03.Muestra'!$F$8:$F$42)-MIN(ROW('03.Muestra'!$D$8:$D$42))+1,""),ROW()-322)),"")</f>
        <v>https://elecciones.comunidad.madrid/es/aviso-legal</v>
      </c>
      <c r="D340" s="99" t="s">
        <v>184</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5" customHeight="1">
      <c r="A341" s="39" cm="1">
        <f t="array" ref="A341">IFERROR(INDEX('03.Muestra'!$B$8:$B$42,SMALL(IF("Página Web"='03.Muestra'!$D$8:$D$42,ROW('03.Muestra'!$B$8:$B$42)-MIN(ROW('03.Muestra'!$D$8:$D$42))+1,""),ROW()-322)),"")</f>
        <v>19</v>
      </c>
      <c r="B341" s="85" t="str" cm="1">
        <f t="array" ref="B341">IFERROR(INDEX('03.Muestra'!$C$8:$C$42,SMALL(IF("Página Web"='03.Muestra'!$D$8:$D$42,ROW('03.Muestra'!$C$8:$C$42)-MIN(ROW('03.Muestra'!$D$8:$D$42))+1,""),ROW()-322)),"")</f>
        <v>Mapa Web</v>
      </c>
      <c r="C341" s="85" t="str" cm="1">
        <f t="array" ref="C341">IFERROR(INDEX('03.Muestra'!$F$8:$F$42,SMALL(IF("Página Web"='03.Muestra'!$D$8:$D$42,ROW('03.Muestra'!$F$8:$F$42)-MIN(ROW('03.Muestra'!$D$8:$D$42))+1,""),ROW()-322)),"")</f>
        <v>https://elecciones.comunidad.madrid/es/sitemap</v>
      </c>
      <c r="D341" s="99" t="s">
        <v>184</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5" customHeight="1">
      <c r="A342" s="39" cm="1">
        <f t="array" ref="A342">IFERROR(INDEX('03.Muestra'!$B$8:$B$42,SMALL(IF("Página Web"='03.Muestra'!$D$8:$D$42,ROW('03.Muestra'!$B$8:$B$42)-MIN(ROW('03.Muestra'!$D$8:$D$42))+1,""),ROW()-322)),"")</f>
        <v>20</v>
      </c>
      <c r="B342" s="85" t="str" cm="1">
        <f t="array" ref="B342">IFERROR(INDEX('03.Muestra'!$C$8:$C$42,SMALL(IF("Página Web"='03.Muestra'!$D$8:$D$42,ROW('03.Muestra'!$C$8:$C$42)-MIN(ROW('03.Muestra'!$D$8:$D$42))+1,""),ROW()-322)),"")</f>
        <v>Declaracion Accesibilidad</v>
      </c>
      <c r="C342" s="85" t="str" cm="1">
        <f t="array" ref="C342">IFERROR(INDEX('03.Muestra'!$F$8:$F$42,SMALL(IF("Página Web"='03.Muestra'!$D$8:$D$42,ROW('03.Muestra'!$F$8:$F$42)-MIN(ROW('03.Muestra'!$D$8:$D$42))+1,""),ROW()-322)),"")</f>
        <v>https://elecciones.comunidad.madrid/es/accesibilidad</v>
      </c>
      <c r="D342" s="99" t="s">
        <v>184</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5"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ref="D343:D357" si="17">IF(AND(B343&lt;&gt;"",C343&lt;&gt;""),"N/T","")</f>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5"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5"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D19:D53">
    <cfRule type="cellIs" dxfId="990" priority="133" stopIfTrue="1" operator="equal">
      <formula>"N/D"</formula>
    </cfRule>
    <cfRule type="cellIs" dxfId="989" priority="131" stopIfTrue="1" operator="equal">
      <formula>"N/A"</formula>
    </cfRule>
    <cfRule type="cellIs" dxfId="988" priority="130" stopIfTrue="1" operator="equal">
      <formula>"Falla"</formula>
    </cfRule>
    <cfRule type="cellIs" dxfId="987" priority="127" stopIfTrue="1" operator="equal">
      <formula>"-"</formula>
    </cfRule>
    <cfRule type="cellIs" dxfId="986" priority="129" stopIfTrue="1" operator="equal">
      <formula>"Pasa"</formula>
    </cfRule>
    <cfRule type="expression" dxfId="985" priority="128" stopIfTrue="1">
      <formula>ISBLANK(D19)</formula>
    </cfRule>
    <cfRule type="cellIs" dxfId="984" priority="132" stopIfTrue="1" operator="equal">
      <formula>"N/T"</formula>
    </cfRule>
  </conditionalFormatting>
  <conditionalFormatting sqref="D57:D91">
    <cfRule type="cellIs" dxfId="983" priority="116" stopIfTrue="1" operator="equal">
      <formula>"Falla"</formula>
    </cfRule>
    <cfRule type="cellIs" dxfId="982" priority="115" stopIfTrue="1" operator="equal">
      <formula>"Pasa"</formula>
    </cfRule>
    <cfRule type="cellIs" dxfId="981" priority="113" stopIfTrue="1" operator="equal">
      <formula>"-"</formula>
    </cfRule>
    <cfRule type="cellIs" dxfId="980" priority="119" stopIfTrue="1" operator="equal">
      <formula>"N/D"</formula>
    </cfRule>
    <cfRule type="cellIs" dxfId="979" priority="118" stopIfTrue="1" operator="equal">
      <formula>"N/T"</formula>
    </cfRule>
    <cfRule type="cellIs" dxfId="978" priority="117" stopIfTrue="1" operator="equal">
      <formula>"N/A"</formula>
    </cfRule>
    <cfRule type="expression" dxfId="977" priority="114" stopIfTrue="1">
      <formula>ISBLANK(D57)</formula>
    </cfRule>
  </conditionalFormatting>
  <conditionalFormatting sqref="D95:D129">
    <cfRule type="cellIs" dxfId="976" priority="103" stopIfTrue="1" operator="equal">
      <formula>"N/A"</formula>
    </cfRule>
    <cfRule type="cellIs" dxfId="975" priority="102" stopIfTrue="1" operator="equal">
      <formula>"Falla"</formula>
    </cfRule>
    <cfRule type="cellIs" dxfId="974" priority="101" stopIfTrue="1" operator="equal">
      <formula>"Pasa"</formula>
    </cfRule>
    <cfRule type="expression" dxfId="973" priority="100" stopIfTrue="1">
      <formula>ISBLANK(D95)</formula>
    </cfRule>
    <cfRule type="cellIs" dxfId="972" priority="99" stopIfTrue="1" operator="equal">
      <formula>"-"</formula>
    </cfRule>
    <cfRule type="cellIs" dxfId="971" priority="104" stopIfTrue="1" operator="equal">
      <formula>"N/T"</formula>
    </cfRule>
    <cfRule type="cellIs" dxfId="970" priority="105" stopIfTrue="1" operator="equal">
      <formula>"N/D"</formula>
    </cfRule>
  </conditionalFormatting>
  <conditionalFormatting sqref="D133:D167">
    <cfRule type="cellIs" dxfId="969" priority="78" stopIfTrue="1" operator="equal">
      <formula>"-"</formula>
    </cfRule>
    <cfRule type="expression" dxfId="968" priority="79" stopIfTrue="1">
      <formula>ISBLANK(D133)</formula>
    </cfRule>
    <cfRule type="cellIs" dxfId="967" priority="81" stopIfTrue="1" operator="equal">
      <formula>"Falla"</formula>
    </cfRule>
    <cfRule type="cellIs" dxfId="966" priority="80" stopIfTrue="1" operator="equal">
      <formula>"Pasa"</formula>
    </cfRule>
    <cfRule type="cellIs" dxfId="965" priority="83" stopIfTrue="1" operator="equal">
      <formula>"N/T"</formula>
    </cfRule>
    <cfRule type="cellIs" dxfId="964" priority="84" stopIfTrue="1" operator="equal">
      <formula>"N/D"</formula>
    </cfRule>
    <cfRule type="cellIs" dxfId="963" priority="82" stopIfTrue="1" operator="equal">
      <formula>"N/A"</formula>
    </cfRule>
  </conditionalFormatting>
  <conditionalFormatting sqref="D171:D205">
    <cfRule type="cellIs" dxfId="962" priority="64" stopIfTrue="1" operator="equal">
      <formula>"-"</formula>
    </cfRule>
    <cfRule type="expression" dxfId="961" priority="65" stopIfTrue="1">
      <formula>ISBLANK(D171)</formula>
    </cfRule>
    <cfRule type="cellIs" dxfId="960" priority="67" stopIfTrue="1" operator="equal">
      <formula>"Falla"</formula>
    </cfRule>
    <cfRule type="cellIs" dxfId="959" priority="68" stopIfTrue="1" operator="equal">
      <formula>"N/A"</formula>
    </cfRule>
    <cfRule type="cellIs" dxfId="958" priority="66" stopIfTrue="1" operator="equal">
      <formula>"Pasa"</formula>
    </cfRule>
    <cfRule type="cellIs" dxfId="957" priority="70" stopIfTrue="1" operator="equal">
      <formula>"N/D"</formula>
    </cfRule>
    <cfRule type="cellIs" dxfId="956" priority="69" stopIfTrue="1" operator="equal">
      <formula>"N/T"</formula>
    </cfRule>
  </conditionalFormatting>
  <conditionalFormatting sqref="D209:D243">
    <cfRule type="cellIs" dxfId="955" priority="53" stopIfTrue="1" operator="equal">
      <formula>"Falla"</formula>
    </cfRule>
    <cfRule type="cellIs" dxfId="954" priority="52" stopIfTrue="1" operator="equal">
      <formula>"Pasa"</formula>
    </cfRule>
    <cfRule type="expression" dxfId="953" priority="51" stopIfTrue="1">
      <formula>ISBLANK(D209)</formula>
    </cfRule>
    <cfRule type="cellIs" dxfId="952" priority="50" stopIfTrue="1" operator="equal">
      <formula>"-"</formula>
    </cfRule>
    <cfRule type="cellIs" dxfId="951" priority="54" stopIfTrue="1" operator="equal">
      <formula>"N/A"</formula>
    </cfRule>
    <cfRule type="cellIs" dxfId="950" priority="55" stopIfTrue="1" operator="equal">
      <formula>"N/T"</formula>
    </cfRule>
    <cfRule type="cellIs" dxfId="949" priority="56" stopIfTrue="1" operator="equal">
      <formula>"N/D"</formula>
    </cfRule>
  </conditionalFormatting>
  <conditionalFormatting sqref="D247:D281">
    <cfRule type="cellIs" dxfId="948" priority="42" stopIfTrue="1" operator="equal">
      <formula>"N/D"</formula>
    </cfRule>
    <cfRule type="cellIs" dxfId="947" priority="41" stopIfTrue="1" operator="equal">
      <formula>"N/T"</formula>
    </cfRule>
    <cfRule type="cellIs" dxfId="946" priority="39" stopIfTrue="1" operator="equal">
      <formula>"Falla"</formula>
    </cfRule>
    <cfRule type="cellIs" dxfId="945" priority="38" stopIfTrue="1" operator="equal">
      <formula>"Pasa"</formula>
    </cfRule>
    <cfRule type="expression" dxfId="944" priority="37" stopIfTrue="1">
      <formula>ISBLANK(D247)</formula>
    </cfRule>
    <cfRule type="cellIs" dxfId="943" priority="36" stopIfTrue="1" operator="equal">
      <formula>"-"</formula>
    </cfRule>
    <cfRule type="cellIs" dxfId="942" priority="40" stopIfTrue="1" operator="equal">
      <formula>"N/A"</formula>
    </cfRule>
  </conditionalFormatting>
  <conditionalFormatting sqref="D285:D319">
    <cfRule type="cellIs" dxfId="941" priority="18" stopIfTrue="1" operator="equal">
      <formula>"Falla"</formula>
    </cfRule>
    <cfRule type="cellIs" dxfId="940" priority="19" stopIfTrue="1" operator="equal">
      <formula>"N/A"</formula>
    </cfRule>
    <cfRule type="cellIs" dxfId="939" priority="20" stopIfTrue="1" operator="equal">
      <formula>"N/T"</formula>
    </cfRule>
    <cfRule type="cellIs" dxfId="938" priority="21" stopIfTrue="1" operator="equal">
      <formula>"N/D"</formula>
    </cfRule>
    <cfRule type="cellIs" dxfId="937" priority="17" stopIfTrue="1" operator="equal">
      <formula>"Pasa"</formula>
    </cfRule>
    <cfRule type="cellIs" dxfId="936" priority="15" stopIfTrue="1" operator="equal">
      <formula>"-"</formula>
    </cfRule>
    <cfRule type="expression" dxfId="935" priority="16" stopIfTrue="1">
      <formula>ISBLANK(D285)</formula>
    </cfRule>
  </conditionalFormatting>
  <conditionalFormatting sqref="D323:D357">
    <cfRule type="cellIs" dxfId="934" priority="6" stopIfTrue="1" operator="equal">
      <formula>"N/T"</formula>
    </cfRule>
    <cfRule type="cellIs" dxfId="933" priority="5" stopIfTrue="1" operator="equal">
      <formula>"N/A"</formula>
    </cfRule>
    <cfRule type="cellIs" dxfId="932" priority="4" stopIfTrue="1" operator="equal">
      <formula>"Falla"</formula>
    </cfRule>
    <cfRule type="cellIs" dxfId="931" priority="3" stopIfTrue="1" operator="equal">
      <formula>"Pasa"</formula>
    </cfRule>
    <cfRule type="expression" dxfId="930" priority="2" stopIfTrue="1">
      <formula>ISBLANK(D323)</formula>
    </cfRule>
    <cfRule type="cellIs" dxfId="929" priority="1" stopIfTrue="1" operator="equal">
      <formula>"-"</formula>
    </cfRule>
    <cfRule type="cellIs" dxfId="928" priority="7" stopIfTrue="1" operator="equal">
      <formula>"N/D"</formula>
    </cfRule>
  </conditionalFormatting>
  <conditionalFormatting sqref="E19:E53 E57:E91 E95:E129 E209:E243 E247:E281 E285:E319 E323:E357">
    <cfRule type="cellIs" dxfId="927" priority="350" stopIfTrue="1" operator="equal">
      <formula>"ERR"</formula>
    </cfRule>
  </conditionalFormatting>
  <conditionalFormatting sqref="E133:E167">
    <cfRule type="cellIs" dxfId="926" priority="180" stopIfTrue="1" operator="equal">
      <formula>"ERR"</formula>
    </cfRule>
  </conditionalFormatting>
  <conditionalFormatting sqref="E171:E205">
    <cfRule type="cellIs" dxfId="925" priority="166" stopIfTrue="1" operator="equal">
      <formula>"ERR"</formula>
    </cfRule>
  </conditionalFormatting>
  <conditionalFormatting sqref="F19:J19 F57:J57 F95:J95 F133:J133 F171:J171 F209:J209 F247:J247 F285:J285 F323:J323">
    <cfRule type="expression" dxfId="924" priority="344" stopIfTrue="1">
      <formula>ISBLANK(F19)</formula>
    </cfRule>
    <cfRule type="cellIs" dxfId="923" priority="345" stopIfTrue="1" operator="equal">
      <formula>"Pasa"</formula>
    </cfRule>
    <cfRule type="cellIs" dxfId="922" priority="346" stopIfTrue="1" operator="equal">
      <formula>"Falla"</formula>
    </cfRule>
    <cfRule type="cellIs" dxfId="921" priority="347" stopIfTrue="1" operator="equal">
      <formula>"N/A"</formula>
    </cfRule>
    <cfRule type="cellIs" dxfId="920" priority="348" stopIfTrue="1" operator="equal">
      <formula>"N/T"</formula>
    </cfRule>
    <cfRule type="cellIs" dxfId="919" priority="349" stopIfTrue="1" operator="equal">
      <formula>"N/D"</formula>
    </cfRule>
  </conditionalFormatting>
  <conditionalFormatting sqref="K23:K24">
    <cfRule type="expression" dxfId="918" priority="141" stopIfTrue="1">
      <formula>ISBLANK(K23)</formula>
    </cfRule>
    <cfRule type="cellIs" dxfId="917" priority="142" stopIfTrue="1" operator="equal">
      <formula>"Pasa"</formula>
    </cfRule>
    <cfRule type="cellIs" dxfId="916" priority="143" stopIfTrue="1" operator="equal">
      <formula>"Falla"</formula>
    </cfRule>
    <cfRule type="cellIs" dxfId="915" priority="144" stopIfTrue="1" operator="equal">
      <formula>"N/A"</formula>
    </cfRule>
    <cfRule type="cellIs" dxfId="914" priority="145" stopIfTrue="1" operator="equal">
      <formula>"N/T"</formula>
    </cfRule>
    <cfRule type="cellIs" dxfId="913" priority="14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zoomScale="80" zoomScaleNormal="80" workbookViewId="0">
      <selection activeCell="D1330" sqref="D1312:D1330"/>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6.63281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165</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8"/>
      <c r="C6" s="128"/>
      <c r="D6" s="128"/>
      <c r="E6" s="129"/>
      <c r="F6" s="128"/>
      <c r="G6" s="128"/>
      <c r="H6" s="128"/>
      <c r="I6" s="128"/>
      <c r="J6" s="128"/>
      <c r="K6" s="128"/>
      <c r="L6" s="128"/>
      <c r="M6" s="128"/>
      <c r="N6" s="18"/>
      <c r="O6" s="18"/>
    </row>
    <row r="7" spans="1:64" ht="12.65" customHeight="1">
      <c r="B7" s="18"/>
      <c r="C7" s="18"/>
      <c r="D7" s="18"/>
      <c r="E7" s="79"/>
      <c r="F7" s="18"/>
      <c r="G7" s="18"/>
      <c r="H7" s="18"/>
      <c r="I7" s="18"/>
      <c r="J7" s="18"/>
      <c r="K7" s="18"/>
      <c r="L7" s="18"/>
      <c r="M7" s="18"/>
      <c r="N7" s="18"/>
      <c r="O7" s="18"/>
    </row>
    <row r="8" spans="1:64" ht="18.899999999999999" customHeight="1">
      <c r="B8" s="82" t="s">
        <v>223</v>
      </c>
      <c r="C8" s="18"/>
      <c r="D8" s="79"/>
      <c r="E8" s="79"/>
      <c r="F8" s="18"/>
      <c r="G8" s="18"/>
      <c r="H8" s="18"/>
      <c r="I8" s="18"/>
      <c r="J8" s="18"/>
      <c r="K8" s="18"/>
      <c r="L8" s="18"/>
      <c r="M8" s="18"/>
      <c r="N8" s="18"/>
      <c r="O8" s="18"/>
    </row>
    <row r="9" spans="1:64" ht="30" customHeight="1">
      <c r="B9" s="231" t="s">
        <v>167</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168</v>
      </c>
      <c r="C11" s="230"/>
      <c r="D11" s="26"/>
      <c r="E11" s="14"/>
      <c r="F11" s="196" t="s">
        <v>169</v>
      </c>
      <c r="G11" s="105" t="s">
        <v>170</v>
      </c>
      <c r="H11" s="197" t="s">
        <v>171</v>
      </c>
      <c r="I11" s="22"/>
      <c r="J11" s="196" t="s">
        <v>172</v>
      </c>
      <c r="K11" s="105" t="s">
        <v>170</v>
      </c>
      <c r="L11" s="197" t="s">
        <v>171</v>
      </c>
      <c r="M11" s="18"/>
      <c r="N11" s="18"/>
      <c r="O11" s="18"/>
      <c r="P11" s="18"/>
      <c r="Q11" s="18"/>
      <c r="R11" s="18"/>
      <c r="U11" s="18"/>
      <c r="V11" s="18"/>
      <c r="W11" s="18"/>
      <c r="X11" s="18"/>
      <c r="Y11" s="18"/>
    </row>
    <row r="12" spans="1:64" ht="12" customHeight="1">
      <c r="B12" s="108" t="s">
        <v>173</v>
      </c>
      <c r="C12" s="198">
        <f>COUNTIF($B$18:$B$3962,B12)</f>
        <v>50</v>
      </c>
      <c r="D12" s="26"/>
      <c r="E12" s="14"/>
      <c r="F12" s="199" t="s">
        <v>174</v>
      </c>
      <c r="G12" s="72">
        <f ca="1">J20+J58+J96+J134+J172+J210+J248+J286+J324+J362+J400+J438+J476+J514+J552+J590+J628+J666+J704+J742+J780+J818+J856+J894+J932+J970+J1008+J1046+J1084+J1122+J1160+J1198+J1236+J1274+J1312+J1350+J1388+J1426+J1464+J1502+J1540+J1578+J1616+J1654+J1692+J1730+J1768+J1806+J1844+J1882</f>
        <v>349</v>
      </c>
      <c r="H12" s="42">
        <f ca="1">IF(($G$15+$K$15)=0,0,G12/($G$15+$K$15))</f>
        <v>0.34899999999999998</v>
      </c>
      <c r="I12" s="26"/>
      <c r="J12" s="183" t="s">
        <v>175</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176</v>
      </c>
      <c r="G13" s="72">
        <f ca="1">I20+I58+I96+I134+I172+I210+I248+I286+I324+I362+I400+I438+I476+I514+I552+I590+I628+I666+I704+I742+I780+I818+I856+I894+I932+I970+I1008+I1046+I1084+I1122+I1160+I1198+I1236+I1274+I1312+I1350+I1388+I1426+I1464+I1502+I1540+I1578+I1616+I1654+I1692+I1730+I1768+I1806+I1844+I1882</f>
        <v>307</v>
      </c>
      <c r="H13" s="42">
        <f ca="1">IF(($G$15+$K$15)=0,0,G13/($G$15+$K$15))</f>
        <v>0.307</v>
      </c>
      <c r="I13" s="26"/>
      <c r="J13" s="183" t="s">
        <v>177</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178</v>
      </c>
      <c r="C14" s="201">
        <f>C12+C13</f>
        <v>50</v>
      </c>
      <c r="D14" s="26"/>
      <c r="E14" s="14"/>
      <c r="F14" s="199" t="s">
        <v>179</v>
      </c>
      <c r="G14" s="72">
        <f ca="1">H20+H58+H96+H134+H172+H210+H248+H286+H324+H362+H400+H438+H476+H514+H552+H590+H628+H666+H704+H742+H780+H818+H856+H894+H932+H970+H1008+H1046+H1084+H1122+H1160+H1198+H1236+H1274+H1312+H1350+H1388+H1426+H1464+H1502+H1540+H1578+H1616+H1654+H1692+H1730+H1768+H1806+H1844+H1882</f>
        <v>344</v>
      </c>
      <c r="H14" s="42">
        <f ca="1">IF(($G$15+$K$15)=0,0,G14/($G$15+$K$15))</f>
        <v>0.34399999999999997</v>
      </c>
      <c r="I14" s="26"/>
      <c r="J14" s="183" t="s">
        <v>180</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178</v>
      </c>
      <c r="G15" s="203">
        <f ca="1">SUM(G12:G14)</f>
        <v>1000</v>
      </c>
      <c r="H15" s="204">
        <f ca="1">SUM(H12:H14)</f>
        <v>0.99999999999999989</v>
      </c>
      <c r="I15" s="26"/>
      <c r="J15" s="200" t="s">
        <v>178</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181</v>
      </c>
      <c r="B18" s="23" t="s">
        <v>173</v>
      </c>
      <c r="C18" s="24" t="s">
        <v>224</v>
      </c>
      <c r="D18" s="25" t="s">
        <v>183</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https://elecciones.comunidad.madrid/es</v>
      </c>
      <c r="D19" s="99" t="s">
        <v>174</v>
      </c>
      <c r="E19" s="79" t="str">
        <f t="shared" ref="E19:E53" si="0">IF(D19&lt;&gt;"",IF(AND(B19&lt;&gt;"",C19&lt;&gt;""),"","ERR"),"")</f>
        <v/>
      </c>
      <c r="F19" s="86" t="s">
        <v>185</v>
      </c>
      <c r="G19" s="87" t="s">
        <v>186</v>
      </c>
      <c r="H19" s="88" t="s">
        <v>184</v>
      </c>
      <c r="I19" s="89" t="s">
        <v>176</v>
      </c>
      <c r="J19" s="90" t="s">
        <v>174</v>
      </c>
      <c r="K19" s="179" t="s">
        <v>180</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Resultado Elecciones 28M 2023</v>
      </c>
      <c r="C20" s="85" t="str" cm="1">
        <f t="array" ref="C20">IFERROR(INDEX('03.Muestra'!$F$8:$F$42,SMALL(IF("Página Web"='03.Muestra'!$D$8:$D$42,ROW('03.Muestra'!$F$8:$F$42)-MIN(ROW('03.Muestra'!$D$8:$D$42))+1,""),ROW()-18)),"")</f>
        <v>https://elecciones.comunidad.madrid/es/resultados-elecciones-asamblea-madrid-28m-2023</v>
      </c>
      <c r="D20" s="99" t="s">
        <v>174</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20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Normativa electoral</v>
      </c>
      <c r="C21" s="85" t="str" cm="1">
        <f t="array" ref="C21">IFERROR(INDEX('03.Muestra'!$F$8:$F$42,SMALL(IF("Página Web"='03.Muestra'!$D$8:$D$42,ROW('03.Muestra'!$F$8:$F$42)-MIN(ROW('03.Muestra'!$D$8:$D$42))+1,""),ROW()-18)),"")</f>
        <v>https://elecciones.comunidad.madrid/es/informacion-electoral/normativa-electoral</v>
      </c>
      <c r="D21" s="99" t="s">
        <v>174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Calendario electoral</v>
      </c>
      <c r="C22" s="85" t="str" cm="1">
        <f t="array" ref="C22">IFERROR(INDEX('03.Muestra'!$F$8:$F$42,SMALL(IF("Página Web"='03.Muestra'!$D$8:$D$42,ROW('03.Muestra'!$F$8:$F$42)-MIN(ROW('03.Muestra'!$D$8:$D$42))+1,""),ROW()-18)),"")</f>
        <v>https://elecciones.comunidad.madrid/es/informacion-electoral/calendario-electoral</v>
      </c>
      <c r="D22" s="99" t="s">
        <v>174</v>
      </c>
      <c r="E22" s="79" t="str">
        <f t="shared" si="0"/>
        <v/>
      </c>
      <c r="F22" s="18"/>
      <c r="G22" s="18"/>
      <c r="H22" s="18"/>
      <c r="I22" s="18"/>
      <c r="K22" s="170" t="s">
        <v>185</v>
      </c>
      <c r="L22" s="92" t="s">
        <v>187</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Direcciones y teléfonos</v>
      </c>
      <c r="C23" s="85" t="str" cm="1">
        <f t="array" ref="C23">IFERROR(INDEX('03.Muestra'!$F$8:$F$42,SMALL(IF("Página Web"='03.Muestra'!$D$8:$D$42,ROW('03.Muestra'!$F$8:$F$42)-MIN(ROW('03.Muestra'!$D$8:$D$42))+1,""),ROW()-18)),"")</f>
        <v>https://elecciones.comunidad.madrid/es/juntas-electorales/direcciones-telefonos</v>
      </c>
      <c r="D23" s="99" t="s">
        <v>174</v>
      </c>
      <c r="E23" s="79" t="str">
        <f t="shared" si="0"/>
        <v/>
      </c>
      <c r="F23" s="78"/>
      <c r="G23" s="18"/>
      <c r="H23" s="18"/>
      <c r="I23" s="18"/>
      <c r="K23" s="88" t="s">
        <v>184</v>
      </c>
      <c r="L23" s="92" t="s">
        <v>188</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Impresos electrónicos</v>
      </c>
      <c r="C24" s="85" t="str" cm="1">
        <f t="array" ref="C24">IFERROR(INDEX('03.Muestra'!$F$8:$F$42,SMALL(IF("Página Web"='03.Muestra'!$D$8:$D$42,ROW('03.Muestra'!$F$8:$F$42)-MIN(ROW('03.Muestra'!$D$8:$D$42))+1,""),ROW()-18)),"")</f>
        <v>https://elecciones.comunidad.madrid/es/formaciones-politicas/impresos-electronicos</v>
      </c>
      <c r="D24" s="99" t="s">
        <v>174</v>
      </c>
      <c r="E24" s="79" t="str">
        <f t="shared" si="0"/>
        <v/>
      </c>
      <c r="F24" s="18"/>
      <c r="G24" s="18"/>
      <c r="H24" s="18"/>
      <c r="I24" s="18"/>
      <c r="K24" s="87" t="s">
        <v>186</v>
      </c>
      <c r="L24" s="92" t="s">
        <v>189</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Listado de candidaturas</v>
      </c>
      <c r="C25" s="85" t="str" cm="1">
        <f t="array" ref="C25">IFERROR(INDEX('03.Muestra'!$F$8:$F$42,SMALL(IF("Página Web"='03.Muestra'!$D$8:$D$42,ROW('03.Muestra'!$F$8:$F$42)-MIN(ROW('03.Muestra'!$D$8:$D$42))+1,""),ROW()-18)),"")</f>
        <v>https://elecciones.comunidad.madrid/es/formaciones-politicas/listado-candidaturas-proclamadas</v>
      </c>
      <c r="D25" s="99" t="s">
        <v>174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Partido Feminista de España</v>
      </c>
      <c r="C26" s="85" t="str" cm="1">
        <f t="array" ref="C26">IFERROR(INDEX('03.Muestra'!$F$8:$F$42,SMALL(IF("Página Web"='03.Muestra'!$D$8:$D$42,ROW('03.Muestra'!$F$8:$F$42)-MIN(ROW('03.Muestra'!$D$8:$D$42))+1,""),ROW()-18)),"")</f>
        <v>https://elecciones.comunidad.madrid/es/formaciones-politicas/listado-candidaturas/partido-feminista-espana</v>
      </c>
      <c r="D26" s="99" t="s">
        <v>174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¿Dónde voto?</v>
      </c>
      <c r="C27" s="85" t="str" cm="1">
        <f t="array" ref="C27">IFERROR(INDEX('03.Muestra'!$F$8:$F$42,SMALL(IF("Página Web"='03.Muestra'!$D$8:$D$42,ROW('03.Muestra'!$F$8:$F$42)-MIN(ROW('03.Muestra'!$D$8:$D$42))+1,""),ROW()-18)),"")</f>
        <v>https://elecciones.comunidad.madrid/es/votar/donde-voto</v>
      </c>
      <c r="D27" s="99" t="s">
        <v>174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Voto presencial</v>
      </c>
      <c r="C28" s="85" t="str" cm="1">
        <f t="array" ref="C28">IFERROR(INDEX('03.Muestra'!$F$8:$F$42,SMALL(IF("Página Web"='03.Muestra'!$D$8:$D$42,ROW('03.Muestra'!$F$8:$F$42)-MIN(ROW('03.Muestra'!$D$8:$D$42))+1,""),ROW()-18)),"")</f>
        <v>https://elecciones.comunidad.madrid/es/voto-local-electoral/voto-presencial</v>
      </c>
      <c r="D28" s="99" t="s">
        <v>174</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Ciudadanos temporalmente en el extranjero</v>
      </c>
      <c r="C29" s="85" t="str" cm="1">
        <f t="array" ref="C29">IFERROR(INDEX('03.Muestra'!$F$8:$F$42,SMALL(IF("Página Web"='03.Muestra'!$D$8:$D$42,ROW('03.Muestra'!$F$8:$F$42)-MIN(ROW('03.Muestra'!$D$8:$D$42))+1,""),ROW()-18)),"")</f>
        <v>https://elecciones.comunidad.madrid/es/voto-correo/solicitud-voto-temporalmente-ausentes</v>
      </c>
      <c r="D29" s="99" t="s">
        <v>174</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Nuevo votante</v>
      </c>
      <c r="C30" s="85" t="str" cm="1">
        <f t="array" ref="C30">IFERROR(INDEX('03.Muestra'!$F$8:$F$42,SMALL(IF("Página Web"='03.Muestra'!$D$8:$D$42,ROW('03.Muestra'!$F$8:$F$42)-MIN(ROW('03.Muestra'!$D$8:$D$42))+1,""),ROW()-18)),"")</f>
        <v>https://elecciones.comunidad.madrid/es/votar/nuevo-votante</v>
      </c>
      <c r="D30" s="99" t="s">
        <v>174</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Simulación método D'Hondt</v>
      </c>
      <c r="C31" s="85" t="str" cm="1">
        <f t="array" ref="C31">IFERROR(INDEX('03.Muestra'!$F$8:$F$42,SMALL(IF("Página Web"='03.Muestra'!$D$8:$D$42,ROW('03.Muestra'!$F$8:$F$42)-MIN(ROW('03.Muestra'!$D$8:$D$42))+1,""),ROW()-18)),"")</f>
        <v>https://elecciones.comunidad.madrid/es/informacion-util/simulacion-metodo-dhondt</v>
      </c>
      <c r="D31" s="99" t="s">
        <v>174</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Ley D'Hondt</v>
      </c>
      <c r="C32" s="85" t="str" cm="1">
        <f t="array" ref="C32">IFERROR(INDEX('03.Muestra'!$F$8:$F$42,SMALL(IF("Página Web"='03.Muestra'!$D$8:$D$42,ROW('03.Muestra'!$F$8:$F$42)-MIN(ROW('03.Muestra'!$D$8:$D$42))+1,""),ROW()-18)),"")</f>
        <v>https://elecciones.comunidad.madrid/es/resultados/ley_d_hondt</v>
      </c>
      <c r="D32" s="99" t="s">
        <v>174</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Voto por correo elector CERA en España</v>
      </c>
      <c r="C33" s="85" t="str" cm="1">
        <f t="array" ref="C33">IFERROR(INDEX('03.Muestra'!$F$8:$F$42,SMALL(IF("Página Web"='03.Muestra'!$D$8:$D$42,ROW('03.Muestra'!$F$8:$F$42)-MIN(ROW('03.Muestra'!$D$8:$D$42))+1,""),ROW()-18)),"")</f>
        <v>https://elecciones.comunidad.madrid/es/preguntas-frecuentes/voto-correo-electores-residentes-extranjero</v>
      </c>
      <c r="D33" s="99" t="s">
        <v>174</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Contacto</v>
      </c>
      <c r="C34" s="85" t="str" cm="1">
        <f t="array" ref="C34">IFERROR(INDEX('03.Muestra'!$F$8:$F$42,SMALL(IF("Página Web"='03.Muestra'!$D$8:$D$42,ROW('03.Muestra'!$F$8:$F$42)-MIN(ROW('03.Muestra'!$D$8:$D$42))+1,""),ROW()-18)),"")</f>
        <v>https://elecciones.comunidad.madrid/es/buzon-de-sugerencias</v>
      </c>
      <c r="D34" s="99" t="s">
        <v>174</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Buscador</v>
      </c>
      <c r="C35" s="85" t="str" cm="1">
        <f t="array" ref="C35">IFERROR(INDEX('03.Muestra'!$F$8:$F$42,SMALL(IF("Página Web"='03.Muestra'!$D$8:$D$42,ROW('03.Muestra'!$F$8:$F$42)-MIN(ROW('03.Muestra'!$D$8:$D$42))+1,""),ROW()-18)),"")</f>
        <v>https://elecciones.comunidad.madrid/es/search?search_api_fulltext=partido</v>
      </c>
      <c r="D35" s="99" t="s">
        <v>174</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Aviso Legal-Privacidad</v>
      </c>
      <c r="C36" s="85" t="str" cm="1">
        <f t="array" ref="C36">IFERROR(INDEX('03.Muestra'!$F$8:$F$42,SMALL(IF("Página Web"='03.Muestra'!$D$8:$D$42,ROW('03.Muestra'!$F$8:$F$42)-MIN(ROW('03.Muestra'!$D$8:$D$42))+1,""),ROW()-18)),"")</f>
        <v>https://elecciones.comunidad.madrid/es/aviso-legal</v>
      </c>
      <c r="D36" s="99" t="s">
        <v>174</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Mapa Web</v>
      </c>
      <c r="C37" s="85" t="str" cm="1">
        <f t="array" ref="C37">IFERROR(INDEX('03.Muestra'!$F$8:$F$42,SMALL(IF("Página Web"='03.Muestra'!$D$8:$D$42,ROW('03.Muestra'!$F$8:$F$42)-MIN(ROW('03.Muestra'!$D$8:$D$42))+1,""),ROW()-18)),"")</f>
        <v>https://elecciones.comunidad.madrid/es/sitemap</v>
      </c>
      <c r="D37" s="99" t="s">
        <v>174</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Declaracion Accesibilidad</v>
      </c>
      <c r="C38" s="85" t="str" cm="1">
        <f t="array" ref="C38">IFERROR(INDEX('03.Muestra'!$F$8:$F$42,SMALL(IF("Página Web"='03.Muestra'!$D$8:$D$42,ROW('03.Muestra'!$F$8:$F$42)-MIN(ROW('03.Muestra'!$D$8:$D$42))+1,""),ROW()-18)),"")</f>
        <v>https://elecciones.comunidad.madrid/es/accesibilidad</v>
      </c>
      <c r="D38" s="99" t="s">
        <v>174</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181</v>
      </c>
      <c r="B56" s="23" t="s">
        <v>173</v>
      </c>
      <c r="C56" s="24" t="s">
        <v>225</v>
      </c>
      <c r="D56" s="25" t="s">
        <v>183</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https://elecciones.comunidad.madrid/es</v>
      </c>
      <c r="D57" s="99" t="s">
        <v>184</v>
      </c>
      <c r="E57" s="79" t="str">
        <f t="shared" ref="E57:E91" si="2">IF(D57&lt;&gt;"",IF(AND(B57&lt;&gt;"",C57&lt;&gt;""),"","ERR"),"")</f>
        <v/>
      </c>
      <c r="F57" s="86" t="s">
        <v>185</v>
      </c>
      <c r="G57" s="87" t="s">
        <v>186</v>
      </c>
      <c r="H57" s="88" t="s">
        <v>184</v>
      </c>
      <c r="I57" s="89" t="s">
        <v>176</v>
      </c>
      <c r="J57" s="90" t="s">
        <v>174</v>
      </c>
      <c r="K57" s="179" t="s">
        <v>180</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Resultado Elecciones 28M 2023</v>
      </c>
      <c r="C58" s="85" t="str" cm="1">
        <f t="array" ref="C58">IFERROR(INDEX('03.Muestra'!$F$8:$F$42,SMALL(IF("Página Web"='03.Muestra'!$D$8:$D$42,ROW('03.Muestra'!$F$8:$F$42)-MIN(ROW('03.Muestra'!$D$8:$D$42))+1,""),ROW()-56)),"")</f>
        <v>https://elecciones.comunidad.madrid/es/resultados-elecciones-asamblea-madrid-28m-2023</v>
      </c>
      <c r="D58" s="99" t="s">
        <v>184</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Normativa electoral</v>
      </c>
      <c r="C59" s="85" t="str" cm="1">
        <f t="array" ref="C59">IFERROR(INDEX('03.Muestra'!$F$8:$F$42,SMALL(IF("Página Web"='03.Muestra'!$D$8:$D$42,ROW('03.Muestra'!$F$8:$F$42)-MIN(ROW('03.Muestra'!$D$8:$D$42))+1,""),ROW()-56)),"")</f>
        <v>https://elecciones.comunidad.madrid/es/informacion-electoral/normativa-electoral</v>
      </c>
      <c r="D59" s="99" t="s">
        <v>184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Calendario electoral</v>
      </c>
      <c r="C60" s="85" t="str" cm="1">
        <f t="array" ref="C60">IFERROR(INDEX('03.Muestra'!$F$8:$F$42,SMALL(IF("Página Web"='03.Muestra'!$D$8:$D$42,ROW('03.Muestra'!$F$8:$F$42)-MIN(ROW('03.Muestra'!$D$8:$D$42))+1,""),ROW()-56)),"")</f>
        <v>https://elecciones.comunidad.madrid/es/informacion-electoral/calendario-electoral</v>
      </c>
      <c r="D60" s="99" t="s">
        <v>184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Direcciones y teléfonos</v>
      </c>
      <c r="C61" s="85" t="str" cm="1">
        <f t="array" ref="C61">IFERROR(INDEX('03.Muestra'!$F$8:$F$42,SMALL(IF("Página Web"='03.Muestra'!$D$8:$D$42,ROW('03.Muestra'!$F$8:$F$42)-MIN(ROW('03.Muestra'!$D$8:$D$42))+1,""),ROW()-56)),"")</f>
        <v>https://elecciones.comunidad.madrid/es/juntas-electorales/direcciones-telefonos</v>
      </c>
      <c r="D61" s="99" t="s">
        <v>184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Impresos electrónicos</v>
      </c>
      <c r="C62" s="85" t="str" cm="1">
        <f t="array" ref="C62">IFERROR(INDEX('03.Muestra'!$F$8:$F$42,SMALL(IF("Página Web"='03.Muestra'!$D$8:$D$42,ROW('03.Muestra'!$F$8:$F$42)-MIN(ROW('03.Muestra'!$D$8:$D$42))+1,""),ROW()-56)),"")</f>
        <v>https://elecciones.comunidad.madrid/es/formaciones-politicas/impresos-electronicos</v>
      </c>
      <c r="D62" s="99" t="s">
        <v>184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Listado de candidaturas</v>
      </c>
      <c r="C63" s="85" t="str" cm="1">
        <f t="array" ref="C63">IFERROR(INDEX('03.Muestra'!$F$8:$F$42,SMALL(IF("Página Web"='03.Muestra'!$D$8:$D$42,ROW('03.Muestra'!$F$8:$F$42)-MIN(ROW('03.Muestra'!$D$8:$D$42))+1,""),ROW()-56)),"")</f>
        <v>https://elecciones.comunidad.madrid/es/formaciones-politicas/listado-candidaturas-proclamadas</v>
      </c>
      <c r="D63" s="99" t="s">
        <v>184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Partido Feminista de España</v>
      </c>
      <c r="C64" s="85" t="str" cm="1">
        <f t="array" ref="C64">IFERROR(INDEX('03.Muestra'!$F$8:$F$42,SMALL(IF("Página Web"='03.Muestra'!$D$8:$D$42,ROW('03.Muestra'!$F$8:$F$42)-MIN(ROW('03.Muestra'!$D$8:$D$42))+1,""),ROW()-56)),"")</f>
        <v>https://elecciones.comunidad.madrid/es/formaciones-politicas/listado-candidaturas/partido-feminista-espana</v>
      </c>
      <c r="D64" s="99" t="s">
        <v>184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¿Dónde voto?</v>
      </c>
      <c r="C65" s="85" t="str" cm="1">
        <f t="array" ref="C65">IFERROR(INDEX('03.Muestra'!$F$8:$F$42,SMALL(IF("Página Web"='03.Muestra'!$D$8:$D$42,ROW('03.Muestra'!$F$8:$F$42)-MIN(ROW('03.Muestra'!$D$8:$D$42))+1,""),ROW()-56)),"")</f>
        <v>https://elecciones.comunidad.madrid/es/votar/donde-voto</v>
      </c>
      <c r="D65" s="99" t="s">
        <v>184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Voto presencial</v>
      </c>
      <c r="C66" s="85" t="str" cm="1">
        <f t="array" ref="C66">IFERROR(INDEX('03.Muestra'!$F$8:$F$42,SMALL(IF("Página Web"='03.Muestra'!$D$8:$D$42,ROW('03.Muestra'!$F$8:$F$42)-MIN(ROW('03.Muestra'!$D$8:$D$42))+1,""),ROW()-56)),"")</f>
        <v>https://elecciones.comunidad.madrid/es/voto-local-electoral/voto-presencial</v>
      </c>
      <c r="D66" s="99" t="s">
        <v>184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Ciudadanos temporalmente en el extranjero</v>
      </c>
      <c r="C67" s="85" t="str" cm="1">
        <f t="array" ref="C67">IFERROR(INDEX('03.Muestra'!$F$8:$F$42,SMALL(IF("Página Web"='03.Muestra'!$D$8:$D$42,ROW('03.Muestra'!$F$8:$F$42)-MIN(ROW('03.Muestra'!$D$8:$D$42))+1,""),ROW()-56)),"")</f>
        <v>https://elecciones.comunidad.madrid/es/voto-correo/solicitud-voto-temporalmente-ausentes</v>
      </c>
      <c r="D67" s="99" t="s">
        <v>184</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Nuevo votante</v>
      </c>
      <c r="C68" s="85" t="str" cm="1">
        <f t="array" ref="C68">IFERROR(INDEX('03.Muestra'!$F$8:$F$42,SMALL(IF("Página Web"='03.Muestra'!$D$8:$D$42,ROW('03.Muestra'!$F$8:$F$42)-MIN(ROW('03.Muestra'!$D$8:$D$42))+1,""),ROW()-56)),"")</f>
        <v>https://elecciones.comunidad.madrid/es/votar/nuevo-votante</v>
      </c>
      <c r="D68" s="99" t="s">
        <v>184</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Simulación método D'Hondt</v>
      </c>
      <c r="C69" s="85" t="str" cm="1">
        <f t="array" ref="C69">IFERROR(INDEX('03.Muestra'!$F$8:$F$42,SMALL(IF("Página Web"='03.Muestra'!$D$8:$D$42,ROW('03.Muestra'!$F$8:$F$42)-MIN(ROW('03.Muestra'!$D$8:$D$42))+1,""),ROW()-56)),"")</f>
        <v>https://elecciones.comunidad.madrid/es/informacion-util/simulacion-metodo-dhondt</v>
      </c>
      <c r="D69" s="99" t="s">
        <v>184</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Ley D'Hondt</v>
      </c>
      <c r="C70" s="85" t="str" cm="1">
        <f t="array" ref="C70">IFERROR(INDEX('03.Muestra'!$F$8:$F$42,SMALL(IF("Página Web"='03.Muestra'!$D$8:$D$42,ROW('03.Muestra'!$F$8:$F$42)-MIN(ROW('03.Muestra'!$D$8:$D$42))+1,""),ROW()-56)),"")</f>
        <v>https://elecciones.comunidad.madrid/es/resultados/ley_d_hondt</v>
      </c>
      <c r="D70" s="99" t="s">
        <v>184</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Voto por correo elector CERA en España</v>
      </c>
      <c r="C71" s="85" t="str" cm="1">
        <f t="array" ref="C71">IFERROR(INDEX('03.Muestra'!$F$8:$F$42,SMALL(IF("Página Web"='03.Muestra'!$D$8:$D$42,ROW('03.Muestra'!$F$8:$F$42)-MIN(ROW('03.Muestra'!$D$8:$D$42))+1,""),ROW()-56)),"")</f>
        <v>https://elecciones.comunidad.madrid/es/preguntas-frecuentes/voto-correo-electores-residentes-extranjero</v>
      </c>
      <c r="D71" s="99" t="s">
        <v>184</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Contacto</v>
      </c>
      <c r="C72" s="85" t="str" cm="1">
        <f t="array" ref="C72">IFERROR(INDEX('03.Muestra'!$F$8:$F$42,SMALL(IF("Página Web"='03.Muestra'!$D$8:$D$42,ROW('03.Muestra'!$F$8:$F$42)-MIN(ROW('03.Muestra'!$D$8:$D$42))+1,""),ROW()-56)),"")</f>
        <v>https://elecciones.comunidad.madrid/es/buzon-de-sugerencias</v>
      </c>
      <c r="D72" s="99" t="s">
        <v>184</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Buscador</v>
      </c>
      <c r="C73" s="85" t="str" cm="1">
        <f t="array" ref="C73">IFERROR(INDEX('03.Muestra'!$F$8:$F$42,SMALL(IF("Página Web"='03.Muestra'!$D$8:$D$42,ROW('03.Muestra'!$F$8:$F$42)-MIN(ROW('03.Muestra'!$D$8:$D$42))+1,""),ROW()-56)),"")</f>
        <v>https://elecciones.comunidad.madrid/es/search?search_api_fulltext=partido</v>
      </c>
      <c r="D73" s="99" t="s">
        <v>184</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Aviso Legal-Privacidad</v>
      </c>
      <c r="C74" s="85" t="str" cm="1">
        <f t="array" ref="C74">IFERROR(INDEX('03.Muestra'!$F$8:$F$42,SMALL(IF("Página Web"='03.Muestra'!$D$8:$D$42,ROW('03.Muestra'!$F$8:$F$42)-MIN(ROW('03.Muestra'!$D$8:$D$42))+1,""),ROW()-56)),"")</f>
        <v>https://elecciones.comunidad.madrid/es/aviso-legal</v>
      </c>
      <c r="D74" s="99" t="s">
        <v>184</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Mapa Web</v>
      </c>
      <c r="C75" s="85" t="str" cm="1">
        <f t="array" ref="C75">IFERROR(INDEX('03.Muestra'!$F$8:$F$42,SMALL(IF("Página Web"='03.Muestra'!$D$8:$D$42,ROW('03.Muestra'!$F$8:$F$42)-MIN(ROW('03.Muestra'!$D$8:$D$42))+1,""),ROW()-56)),"")</f>
        <v>https://elecciones.comunidad.madrid/es/sitemap</v>
      </c>
      <c r="D75" s="99" t="s">
        <v>184</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Declaracion Accesibilidad</v>
      </c>
      <c r="C76" s="85" t="str" cm="1">
        <f t="array" ref="C76">IFERROR(INDEX('03.Muestra'!$F$8:$F$42,SMALL(IF("Página Web"='03.Muestra'!$D$8:$D$42,ROW('03.Muestra'!$F$8:$F$42)-MIN(ROW('03.Muestra'!$D$8:$D$42))+1,""),ROW()-56)),"")</f>
        <v>https://elecciones.comunidad.madrid/es/accesibilidad</v>
      </c>
      <c r="D76" s="99" t="s">
        <v>184</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181</v>
      </c>
      <c r="B94" s="23" t="s">
        <v>173</v>
      </c>
      <c r="C94" s="24" t="s">
        <v>226</v>
      </c>
      <c r="D94" s="25" t="s">
        <v>183</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https://elecciones.comunidad.madrid/es</v>
      </c>
      <c r="D95" s="211" t="s">
        <v>176</v>
      </c>
      <c r="E95" s="79" t="str">
        <f t="shared" ref="E95:E129" si="4">IF(D95&lt;&gt;"",IF(AND(B95&lt;&gt;"",C95&lt;&gt;""),"","ERR"),"")</f>
        <v/>
      </c>
      <c r="F95" s="86" t="s">
        <v>185</v>
      </c>
      <c r="G95" s="87" t="s">
        <v>186</v>
      </c>
      <c r="H95" s="88" t="s">
        <v>184</v>
      </c>
      <c r="I95" s="89" t="s">
        <v>176</v>
      </c>
      <c r="J95" s="90" t="s">
        <v>174</v>
      </c>
      <c r="K95" s="179" t="s">
        <v>180</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Resultado Elecciones 28M 2023</v>
      </c>
      <c r="C96" s="85" t="str" cm="1">
        <f t="array" ref="C96">IFERROR(INDEX('03.Muestra'!$F$8:$F$42,SMALL(IF("Página Web"='03.Muestra'!$D$8:$D$42,ROW('03.Muestra'!$F$8:$F$42)-MIN(ROW('03.Muestra'!$D$8:$D$42))+1,""),ROW()-94)),"")</f>
        <v>https://elecciones.comunidad.madrid/es/resultados-elecciones-asamblea-madrid-28m-2023</v>
      </c>
      <c r="D96" s="99" t="s">
        <v>184</v>
      </c>
      <c r="E96" s="79" t="str">
        <f t="shared" si="4"/>
        <v/>
      </c>
      <c r="F96" s="91">
        <f ca="1">COUNTIF($D95:INDIRECT("$D" &amp;  SUM(ROW()-1,'03.Muestra'!$D$45)-1),F95)</f>
        <v>0</v>
      </c>
      <c r="G96" s="91">
        <f ca="1">COUNTIF($D95:INDIRECT("$D" &amp;  SUM(ROW()-1,'03.Muestra'!$D$45)-1),G95)</f>
        <v>0</v>
      </c>
      <c r="H96" s="91">
        <f ca="1">COUNTIF($D95:INDIRECT("$D" &amp;  SUM(ROW()-1,'03.Muestra'!$D$45)-1),H95)</f>
        <v>16</v>
      </c>
      <c r="I96" s="91">
        <f ca="1">COUNTIF($D95:INDIRECT("$D" &amp;  SUM(ROW()-1,'03.Muestra'!$D$45)-1),I95)</f>
        <v>1</v>
      </c>
      <c r="J96" s="91">
        <f ca="1">COUNTIF($D95:INDIRECT("$D" &amp;  SUM(ROW()-1,'03.Muestra'!$D$45)-1),J95)</f>
        <v>3</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Normativa electoral</v>
      </c>
      <c r="C97" s="85" t="str" cm="1">
        <f t="array" ref="C97">IFERROR(INDEX('03.Muestra'!$F$8:$F$42,SMALL(IF("Página Web"='03.Muestra'!$D$8:$D$42,ROW('03.Muestra'!$F$8:$F$42)-MIN(ROW('03.Muestra'!$D$8:$D$42))+1,""),ROW()-94)),"")</f>
        <v>https://elecciones.comunidad.madrid/es/informacion-electoral/normativa-electoral</v>
      </c>
      <c r="D97" s="99" t="s">
        <v>184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Calendario electoral</v>
      </c>
      <c r="C98" s="85" t="str" cm="1">
        <f t="array" ref="C98">IFERROR(INDEX('03.Muestra'!$F$8:$F$42,SMALL(IF("Página Web"='03.Muestra'!$D$8:$D$42,ROW('03.Muestra'!$F$8:$F$42)-MIN(ROW('03.Muestra'!$D$8:$D$42))+1,""),ROW()-94)),"")</f>
        <v>https://elecciones.comunidad.madrid/es/informacion-electoral/calendario-electoral</v>
      </c>
      <c r="D98" s="99" t="s">
        <v>184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Direcciones y teléfonos</v>
      </c>
      <c r="C99" s="85" t="str" cm="1">
        <f t="array" ref="C99">IFERROR(INDEX('03.Muestra'!$F$8:$F$42,SMALL(IF("Página Web"='03.Muestra'!$D$8:$D$42,ROW('03.Muestra'!$F$8:$F$42)-MIN(ROW('03.Muestra'!$D$8:$D$42))+1,""),ROW()-94)),"")</f>
        <v>https://elecciones.comunidad.madrid/es/juntas-electorales/direcciones-telefonos</v>
      </c>
      <c r="D99" s="99" t="s">
        <v>184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Impresos electrónicos</v>
      </c>
      <c r="C100" s="85" t="str" cm="1">
        <f t="array" ref="C100">IFERROR(INDEX('03.Muestra'!$F$8:$F$42,SMALL(IF("Página Web"='03.Muestra'!$D$8:$D$42,ROW('03.Muestra'!$F$8:$F$42)-MIN(ROW('03.Muestra'!$D$8:$D$42))+1,""),ROW()-94)),"")</f>
        <v>https://elecciones.comunidad.madrid/es/formaciones-politicas/impresos-electronicos</v>
      </c>
      <c r="D100" s="99" t="s">
        <v>184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Listado de candidaturas</v>
      </c>
      <c r="C101" s="85" t="str" cm="1">
        <f t="array" ref="C101">IFERROR(INDEX('03.Muestra'!$F$8:$F$42,SMALL(IF("Página Web"='03.Muestra'!$D$8:$D$42,ROW('03.Muestra'!$F$8:$F$42)-MIN(ROW('03.Muestra'!$D$8:$D$42))+1,""),ROW()-94)),"")</f>
        <v>https://elecciones.comunidad.madrid/es/formaciones-politicas/listado-candidaturas-proclamadas</v>
      </c>
      <c r="D101" s="99" t="s">
        <v>184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Partido Feminista de España</v>
      </c>
      <c r="C102" s="85" t="str" cm="1">
        <f t="array" ref="C102">IFERROR(INDEX('03.Muestra'!$F$8:$F$42,SMALL(IF("Página Web"='03.Muestra'!$D$8:$D$42,ROW('03.Muestra'!$F$8:$F$42)-MIN(ROW('03.Muestra'!$D$8:$D$42))+1,""),ROW()-94)),"")</f>
        <v>https://elecciones.comunidad.madrid/es/formaciones-politicas/listado-candidaturas/partido-feminista-espana</v>
      </c>
      <c r="D102" s="99" t="s">
        <v>184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¿Dónde voto?</v>
      </c>
      <c r="C103" s="85" t="str" cm="1">
        <f t="array" ref="C103">IFERROR(INDEX('03.Muestra'!$F$8:$F$42,SMALL(IF("Página Web"='03.Muestra'!$D$8:$D$42,ROW('03.Muestra'!$F$8:$F$42)-MIN(ROW('03.Muestra'!$D$8:$D$42))+1,""),ROW()-94)),"")</f>
        <v>https://elecciones.comunidad.madrid/es/votar/donde-voto</v>
      </c>
      <c r="D103" s="99" t="s">
        <v>184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Voto presencial</v>
      </c>
      <c r="C104" s="85" t="str" cm="1">
        <f t="array" ref="C104">IFERROR(INDEX('03.Muestra'!$F$8:$F$42,SMALL(IF("Página Web"='03.Muestra'!$D$8:$D$42,ROW('03.Muestra'!$F$8:$F$42)-MIN(ROW('03.Muestra'!$D$8:$D$42))+1,""),ROW()-94)),"")</f>
        <v>https://elecciones.comunidad.madrid/es/voto-local-electoral/voto-presencial</v>
      </c>
      <c r="D104" s="99" t="s">
        <v>174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Ciudadanos temporalmente en el extranjero</v>
      </c>
      <c r="C105" s="85" t="str" cm="1">
        <f t="array" ref="C105">IFERROR(INDEX('03.Muestra'!$F$8:$F$42,SMALL(IF("Página Web"='03.Muestra'!$D$8:$D$42,ROW('03.Muestra'!$F$8:$F$42)-MIN(ROW('03.Muestra'!$D$8:$D$42))+1,""),ROW()-94)),"")</f>
        <v>https://elecciones.comunidad.madrid/es/voto-correo/solicitud-voto-temporalmente-ausentes</v>
      </c>
      <c r="D105" s="99" t="s">
        <v>174</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Nuevo votante</v>
      </c>
      <c r="C106" s="85" t="str" cm="1">
        <f t="array" ref="C106">IFERROR(INDEX('03.Muestra'!$F$8:$F$42,SMALL(IF("Página Web"='03.Muestra'!$D$8:$D$42,ROW('03.Muestra'!$F$8:$F$42)-MIN(ROW('03.Muestra'!$D$8:$D$42))+1,""),ROW()-94)),"")</f>
        <v>https://elecciones.comunidad.madrid/es/votar/nuevo-votante</v>
      </c>
      <c r="D106" s="99" t="s">
        <v>174</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Simulación método D'Hondt</v>
      </c>
      <c r="C107" s="85" t="str" cm="1">
        <f t="array" ref="C107">IFERROR(INDEX('03.Muestra'!$F$8:$F$42,SMALL(IF("Página Web"='03.Muestra'!$D$8:$D$42,ROW('03.Muestra'!$F$8:$F$42)-MIN(ROW('03.Muestra'!$D$8:$D$42))+1,""),ROW()-94)),"")</f>
        <v>https://elecciones.comunidad.madrid/es/informacion-util/simulacion-metodo-dhondt</v>
      </c>
      <c r="D107" s="99" t="s">
        <v>184</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Ley D'Hondt</v>
      </c>
      <c r="C108" s="85" t="str" cm="1">
        <f t="array" ref="C108">IFERROR(INDEX('03.Muestra'!$F$8:$F$42,SMALL(IF("Página Web"='03.Muestra'!$D$8:$D$42,ROW('03.Muestra'!$F$8:$F$42)-MIN(ROW('03.Muestra'!$D$8:$D$42))+1,""),ROW()-94)),"")</f>
        <v>https://elecciones.comunidad.madrid/es/resultados/ley_d_hondt</v>
      </c>
      <c r="D108" s="99" t="s">
        <v>184</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Voto por correo elector CERA en España</v>
      </c>
      <c r="C109" s="85" t="str" cm="1">
        <f t="array" ref="C109">IFERROR(INDEX('03.Muestra'!$F$8:$F$42,SMALL(IF("Página Web"='03.Muestra'!$D$8:$D$42,ROW('03.Muestra'!$F$8:$F$42)-MIN(ROW('03.Muestra'!$D$8:$D$42))+1,""),ROW()-94)),"")</f>
        <v>https://elecciones.comunidad.madrid/es/preguntas-frecuentes/voto-correo-electores-residentes-extranjero</v>
      </c>
      <c r="D109" s="99" t="s">
        <v>184</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Contacto</v>
      </c>
      <c r="C110" s="85" t="str" cm="1">
        <f t="array" ref="C110">IFERROR(INDEX('03.Muestra'!$F$8:$F$42,SMALL(IF("Página Web"='03.Muestra'!$D$8:$D$42,ROW('03.Muestra'!$F$8:$F$42)-MIN(ROW('03.Muestra'!$D$8:$D$42))+1,""),ROW()-94)),"")</f>
        <v>https://elecciones.comunidad.madrid/es/buzon-de-sugerencias</v>
      </c>
      <c r="D110" s="99" t="s">
        <v>184</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Buscador</v>
      </c>
      <c r="C111" s="85" t="str" cm="1">
        <f t="array" ref="C111">IFERROR(INDEX('03.Muestra'!$F$8:$F$42,SMALL(IF("Página Web"='03.Muestra'!$D$8:$D$42,ROW('03.Muestra'!$F$8:$F$42)-MIN(ROW('03.Muestra'!$D$8:$D$42))+1,""),ROW()-94)),"")</f>
        <v>https://elecciones.comunidad.madrid/es/search?search_api_fulltext=partido</v>
      </c>
      <c r="D111" s="99" t="s">
        <v>184</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Aviso Legal-Privacidad</v>
      </c>
      <c r="C112" s="85" t="str" cm="1">
        <f t="array" ref="C112">IFERROR(INDEX('03.Muestra'!$F$8:$F$42,SMALL(IF("Página Web"='03.Muestra'!$D$8:$D$42,ROW('03.Muestra'!$F$8:$F$42)-MIN(ROW('03.Muestra'!$D$8:$D$42))+1,""),ROW()-94)),"")</f>
        <v>https://elecciones.comunidad.madrid/es/aviso-legal</v>
      </c>
      <c r="D112" s="99" t="s">
        <v>184</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Mapa Web</v>
      </c>
      <c r="C113" s="85" t="str" cm="1">
        <f t="array" ref="C113">IFERROR(INDEX('03.Muestra'!$F$8:$F$42,SMALL(IF("Página Web"='03.Muestra'!$D$8:$D$42,ROW('03.Muestra'!$F$8:$F$42)-MIN(ROW('03.Muestra'!$D$8:$D$42))+1,""),ROW()-94)),"")</f>
        <v>https://elecciones.comunidad.madrid/es/sitemap</v>
      </c>
      <c r="D113" s="99" t="s">
        <v>184</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Declaracion Accesibilidad</v>
      </c>
      <c r="C114" s="85" t="str" cm="1">
        <f t="array" ref="C114">IFERROR(INDEX('03.Muestra'!$F$8:$F$42,SMALL(IF("Página Web"='03.Muestra'!$D$8:$D$42,ROW('03.Muestra'!$F$8:$F$42)-MIN(ROW('03.Muestra'!$D$8:$D$42))+1,""),ROW()-94)),"")</f>
        <v>https://elecciones.comunidad.madrid/es/accesibilidad</v>
      </c>
      <c r="D114" s="99" t="s">
        <v>184</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181</v>
      </c>
      <c r="B132" s="23" t="s">
        <v>173</v>
      </c>
      <c r="C132" s="24" t="s">
        <v>227</v>
      </c>
      <c r="D132" s="25" t="s">
        <v>183</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https://elecciones.comunidad.madrid/es</v>
      </c>
      <c r="D133" s="99" t="s">
        <v>176</v>
      </c>
      <c r="E133" s="79" t="str">
        <f t="shared" ref="E133:E167" si="6">IF(D133&lt;&gt;"",IF(AND(B133&lt;&gt;"",C133&lt;&gt;""),"","ERR"),"")</f>
        <v/>
      </c>
      <c r="F133" s="86" t="s">
        <v>185</v>
      </c>
      <c r="G133" s="87" t="s">
        <v>186</v>
      </c>
      <c r="H133" s="88" t="s">
        <v>184</v>
      </c>
      <c r="I133" s="89" t="s">
        <v>176</v>
      </c>
      <c r="J133" s="90" t="s">
        <v>174</v>
      </c>
      <c r="K133" s="179" t="s">
        <v>180</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Resultado Elecciones 28M 2023</v>
      </c>
      <c r="C134" s="85" t="str" cm="1">
        <f t="array" ref="C134">IFERROR(INDEX('03.Muestra'!$F$8:$F$42,SMALL(IF("Página Web"='03.Muestra'!$D$8:$D$42,ROW('03.Muestra'!$F$8:$F$42)-MIN(ROW('03.Muestra'!$D$8:$D$42))+1,""),ROW()-132)),"")</f>
        <v>https://elecciones.comunidad.madrid/es/resultados-elecciones-asamblea-madrid-28m-2023</v>
      </c>
      <c r="D134" s="99" t="s">
        <v>184</v>
      </c>
      <c r="E134" s="79" t="str">
        <f t="shared" si="6"/>
        <v/>
      </c>
      <c r="F134" s="91">
        <f ca="1">COUNTIF($D133:INDIRECT("$D" &amp;  SUM(ROW()-1,'03.Muestra'!$D$45)-1),F133)</f>
        <v>0</v>
      </c>
      <c r="G134" s="91">
        <f ca="1">COUNTIF($D133:INDIRECT("$D" &amp;  SUM(ROW()-1,'03.Muestra'!$D$45)-1),G133)</f>
        <v>0</v>
      </c>
      <c r="H134" s="91">
        <f ca="1">COUNTIF($D133:INDIRECT("$D" &amp;  SUM(ROW()-1,'03.Muestra'!$D$45)-1),H133)</f>
        <v>16</v>
      </c>
      <c r="I134" s="91">
        <f ca="1">COUNTIF($D133:INDIRECT("$D" &amp;  SUM(ROW()-1,'03.Muestra'!$D$45)-1),I133)</f>
        <v>4</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Normativa electoral</v>
      </c>
      <c r="C135" s="85" t="str" cm="1">
        <f t="array" ref="C135">IFERROR(INDEX('03.Muestra'!$F$8:$F$42,SMALL(IF("Página Web"='03.Muestra'!$D$8:$D$42,ROW('03.Muestra'!$F$8:$F$42)-MIN(ROW('03.Muestra'!$D$8:$D$42))+1,""),ROW()-132)),"")</f>
        <v>https://elecciones.comunidad.madrid/es/informacion-electoral/normativa-electoral</v>
      </c>
      <c r="D135" s="99" t="s">
        <v>184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Calendario electoral</v>
      </c>
      <c r="C136" s="85" t="str" cm="1">
        <f t="array" ref="C136">IFERROR(INDEX('03.Muestra'!$F$8:$F$42,SMALL(IF("Página Web"='03.Muestra'!$D$8:$D$42,ROW('03.Muestra'!$F$8:$F$42)-MIN(ROW('03.Muestra'!$D$8:$D$42))+1,""),ROW()-132)),"")</f>
        <v>https://elecciones.comunidad.madrid/es/informacion-electoral/calendario-electoral</v>
      </c>
      <c r="D136" s="99" t="s">
        <v>184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Direcciones y teléfonos</v>
      </c>
      <c r="C137" s="85" t="str" cm="1">
        <f t="array" ref="C137">IFERROR(INDEX('03.Muestra'!$F$8:$F$42,SMALL(IF("Página Web"='03.Muestra'!$D$8:$D$42,ROW('03.Muestra'!$F$8:$F$42)-MIN(ROW('03.Muestra'!$D$8:$D$42))+1,""),ROW()-132)),"")</f>
        <v>https://elecciones.comunidad.madrid/es/juntas-electorales/direcciones-telefonos</v>
      </c>
      <c r="D137" s="99" t="s">
        <v>184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Impresos electrónicos</v>
      </c>
      <c r="C138" s="85" t="str" cm="1">
        <f t="array" ref="C138">IFERROR(INDEX('03.Muestra'!$F$8:$F$42,SMALL(IF("Página Web"='03.Muestra'!$D$8:$D$42,ROW('03.Muestra'!$F$8:$F$42)-MIN(ROW('03.Muestra'!$D$8:$D$42))+1,""),ROW()-132)),"")</f>
        <v>https://elecciones.comunidad.madrid/es/formaciones-politicas/impresos-electronicos</v>
      </c>
      <c r="D138" s="99" t="s">
        <v>184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Listado de candidaturas</v>
      </c>
      <c r="C139" s="85" t="str" cm="1">
        <f t="array" ref="C139">IFERROR(INDEX('03.Muestra'!$F$8:$F$42,SMALL(IF("Página Web"='03.Muestra'!$D$8:$D$42,ROW('03.Muestra'!$F$8:$F$42)-MIN(ROW('03.Muestra'!$D$8:$D$42))+1,""),ROW()-132)),"")</f>
        <v>https://elecciones.comunidad.madrid/es/formaciones-politicas/listado-candidaturas-proclamadas</v>
      </c>
      <c r="D139" s="99" t="s">
        <v>184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Partido Feminista de España</v>
      </c>
      <c r="C140" s="85" t="str" cm="1">
        <f t="array" ref="C140">IFERROR(INDEX('03.Muestra'!$F$8:$F$42,SMALL(IF("Página Web"='03.Muestra'!$D$8:$D$42,ROW('03.Muestra'!$F$8:$F$42)-MIN(ROW('03.Muestra'!$D$8:$D$42))+1,""),ROW()-132)),"")</f>
        <v>https://elecciones.comunidad.madrid/es/formaciones-politicas/listado-candidaturas/partido-feminista-espana</v>
      </c>
      <c r="D140" s="99" t="s">
        <v>184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¿Dónde voto?</v>
      </c>
      <c r="C141" s="85" t="str" cm="1">
        <f t="array" ref="C141">IFERROR(INDEX('03.Muestra'!$F$8:$F$42,SMALL(IF("Página Web"='03.Muestra'!$D$8:$D$42,ROW('03.Muestra'!$F$8:$F$42)-MIN(ROW('03.Muestra'!$D$8:$D$42))+1,""),ROW()-132)),"")</f>
        <v>https://elecciones.comunidad.madrid/es/votar/donde-voto</v>
      </c>
      <c r="D141" s="99" t="s">
        <v>184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Voto presencial</v>
      </c>
      <c r="C142" s="85" t="str" cm="1">
        <f t="array" ref="C142">IFERROR(INDEX('03.Muestra'!$F$8:$F$42,SMALL(IF("Página Web"='03.Muestra'!$D$8:$D$42,ROW('03.Muestra'!$F$8:$F$42)-MIN(ROW('03.Muestra'!$D$8:$D$42))+1,""),ROW()-132)),"")</f>
        <v>https://elecciones.comunidad.madrid/es/voto-local-electoral/voto-presencial</v>
      </c>
      <c r="D142" s="99" t="s">
        <v>176</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Ciudadanos temporalmente en el extranjero</v>
      </c>
      <c r="C143" s="85" t="str" cm="1">
        <f t="array" ref="C143">IFERROR(INDEX('03.Muestra'!$F$8:$F$42,SMALL(IF("Página Web"='03.Muestra'!$D$8:$D$42,ROW('03.Muestra'!$F$8:$F$42)-MIN(ROW('03.Muestra'!$D$8:$D$42))+1,""),ROW()-132)),"")</f>
        <v>https://elecciones.comunidad.madrid/es/voto-correo/solicitud-voto-temporalmente-ausentes</v>
      </c>
      <c r="D143" s="99" t="s">
        <v>176</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Nuevo votante</v>
      </c>
      <c r="C144" s="85" t="str" cm="1">
        <f t="array" ref="C144">IFERROR(INDEX('03.Muestra'!$F$8:$F$42,SMALL(IF("Página Web"='03.Muestra'!$D$8:$D$42,ROW('03.Muestra'!$F$8:$F$42)-MIN(ROW('03.Muestra'!$D$8:$D$42))+1,""),ROW()-132)),"")</f>
        <v>https://elecciones.comunidad.madrid/es/votar/nuevo-votante</v>
      </c>
      <c r="D144" s="99" t="s">
        <v>176</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Simulación método D'Hondt</v>
      </c>
      <c r="C145" s="85" t="str" cm="1">
        <f t="array" ref="C145">IFERROR(INDEX('03.Muestra'!$F$8:$F$42,SMALL(IF("Página Web"='03.Muestra'!$D$8:$D$42,ROW('03.Muestra'!$F$8:$F$42)-MIN(ROW('03.Muestra'!$D$8:$D$42))+1,""),ROW()-132)),"")</f>
        <v>https://elecciones.comunidad.madrid/es/informacion-util/simulacion-metodo-dhondt</v>
      </c>
      <c r="D145" s="99" t="s">
        <v>184</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Ley D'Hondt</v>
      </c>
      <c r="C146" s="85" t="str" cm="1">
        <f t="array" ref="C146">IFERROR(INDEX('03.Muestra'!$F$8:$F$42,SMALL(IF("Página Web"='03.Muestra'!$D$8:$D$42,ROW('03.Muestra'!$F$8:$F$42)-MIN(ROW('03.Muestra'!$D$8:$D$42))+1,""),ROW()-132)),"")</f>
        <v>https://elecciones.comunidad.madrid/es/resultados/ley_d_hondt</v>
      </c>
      <c r="D146" s="99" t="s">
        <v>184</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Voto por correo elector CERA en España</v>
      </c>
      <c r="C147" s="85" t="str" cm="1">
        <f t="array" ref="C147">IFERROR(INDEX('03.Muestra'!$F$8:$F$42,SMALL(IF("Página Web"='03.Muestra'!$D$8:$D$42,ROW('03.Muestra'!$F$8:$F$42)-MIN(ROW('03.Muestra'!$D$8:$D$42))+1,""),ROW()-132)),"")</f>
        <v>https://elecciones.comunidad.madrid/es/preguntas-frecuentes/voto-correo-electores-residentes-extranjero</v>
      </c>
      <c r="D147" s="99" t="s">
        <v>184</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Contacto</v>
      </c>
      <c r="C148" s="85" t="str" cm="1">
        <f t="array" ref="C148">IFERROR(INDEX('03.Muestra'!$F$8:$F$42,SMALL(IF("Página Web"='03.Muestra'!$D$8:$D$42,ROW('03.Muestra'!$F$8:$F$42)-MIN(ROW('03.Muestra'!$D$8:$D$42))+1,""),ROW()-132)),"")</f>
        <v>https://elecciones.comunidad.madrid/es/buzon-de-sugerencias</v>
      </c>
      <c r="D148" s="99" t="s">
        <v>184</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Buscador</v>
      </c>
      <c r="C149" s="85" t="str" cm="1">
        <f t="array" ref="C149">IFERROR(INDEX('03.Muestra'!$F$8:$F$42,SMALL(IF("Página Web"='03.Muestra'!$D$8:$D$42,ROW('03.Muestra'!$F$8:$F$42)-MIN(ROW('03.Muestra'!$D$8:$D$42))+1,""),ROW()-132)),"")</f>
        <v>https://elecciones.comunidad.madrid/es/search?search_api_fulltext=partido</v>
      </c>
      <c r="D149" s="99" t="s">
        <v>184</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Aviso Legal-Privacidad</v>
      </c>
      <c r="C150" s="85" t="str" cm="1">
        <f t="array" ref="C150">IFERROR(INDEX('03.Muestra'!$F$8:$F$42,SMALL(IF("Página Web"='03.Muestra'!$D$8:$D$42,ROW('03.Muestra'!$F$8:$F$42)-MIN(ROW('03.Muestra'!$D$8:$D$42))+1,""),ROW()-132)),"")</f>
        <v>https://elecciones.comunidad.madrid/es/aviso-legal</v>
      </c>
      <c r="D150" s="99" t="s">
        <v>184</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Mapa Web</v>
      </c>
      <c r="C151" s="85" t="str" cm="1">
        <f t="array" ref="C151">IFERROR(INDEX('03.Muestra'!$F$8:$F$42,SMALL(IF("Página Web"='03.Muestra'!$D$8:$D$42,ROW('03.Muestra'!$F$8:$F$42)-MIN(ROW('03.Muestra'!$D$8:$D$42))+1,""),ROW()-132)),"")</f>
        <v>https://elecciones.comunidad.madrid/es/sitemap</v>
      </c>
      <c r="D151" s="99" t="s">
        <v>184</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Declaracion Accesibilidad</v>
      </c>
      <c r="C152" s="85" t="str" cm="1">
        <f t="array" ref="C152">IFERROR(INDEX('03.Muestra'!$F$8:$F$42,SMALL(IF("Página Web"='03.Muestra'!$D$8:$D$42,ROW('03.Muestra'!$F$8:$F$42)-MIN(ROW('03.Muestra'!$D$8:$D$42))+1,""),ROW()-132)),"")</f>
        <v>https://elecciones.comunidad.madrid/es/accesibilidad</v>
      </c>
      <c r="D152" s="99" t="s">
        <v>184</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181</v>
      </c>
      <c r="B170" s="23" t="s">
        <v>173</v>
      </c>
      <c r="C170" s="24" t="s">
        <v>228</v>
      </c>
      <c r="D170" s="25" t="s">
        <v>183</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https://elecciones.comunidad.madrid/es</v>
      </c>
      <c r="D171" s="99" t="s">
        <v>176</v>
      </c>
      <c r="E171" s="79" t="str">
        <f t="shared" ref="E171:E205" si="8">IF(D171&lt;&gt;"",IF(AND(B171&lt;&gt;"",C171&lt;&gt;""),"","ERR"),"")</f>
        <v/>
      </c>
      <c r="F171" s="86" t="s">
        <v>185</v>
      </c>
      <c r="G171" s="87" t="s">
        <v>186</v>
      </c>
      <c r="H171" s="88" t="s">
        <v>184</v>
      </c>
      <c r="I171" s="89" t="s">
        <v>176</v>
      </c>
      <c r="J171" s="90" t="s">
        <v>174</v>
      </c>
      <c r="K171" s="179" t="s">
        <v>180</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Resultado Elecciones 28M 2023</v>
      </c>
      <c r="C172" s="85" t="str" cm="1">
        <f t="array" ref="C172">IFERROR(INDEX('03.Muestra'!$F$8:$F$42,SMALL(IF("Página Web"='03.Muestra'!$D$8:$D$42,ROW('03.Muestra'!$F$8:$F$42)-MIN(ROW('03.Muestra'!$D$8:$D$42))+1,""),ROW()-170)),"")</f>
        <v>https://elecciones.comunidad.madrid/es/resultados-elecciones-asamblea-madrid-28m-2023</v>
      </c>
      <c r="D172" s="99" t="s">
        <v>184</v>
      </c>
      <c r="E172" s="79" t="str">
        <f t="shared" si="8"/>
        <v/>
      </c>
      <c r="F172" s="91">
        <f ca="1">COUNTIF($D171:INDIRECT("$D" &amp;  SUM(ROW()-1,'03.Muestra'!$D$45)-1),F171)</f>
        <v>0</v>
      </c>
      <c r="G172" s="91">
        <f ca="1">COUNTIF($D171:INDIRECT("$D" &amp;  SUM(ROW()-1,'03.Muestra'!$D$45)-1),G171)</f>
        <v>0</v>
      </c>
      <c r="H172" s="91">
        <f ca="1">COUNTIF($D171:INDIRECT("$D" &amp;  SUM(ROW()-1,'03.Muestra'!$D$45)-1),H171)</f>
        <v>16</v>
      </c>
      <c r="I172" s="91">
        <f ca="1">COUNTIF($D171:INDIRECT("$D" &amp;  SUM(ROW()-1,'03.Muestra'!$D$45)-1),I171)</f>
        <v>4</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Normativa electoral</v>
      </c>
      <c r="C173" s="85" t="str" cm="1">
        <f t="array" ref="C173">IFERROR(INDEX('03.Muestra'!$F$8:$F$42,SMALL(IF("Página Web"='03.Muestra'!$D$8:$D$42,ROW('03.Muestra'!$F$8:$F$42)-MIN(ROW('03.Muestra'!$D$8:$D$42))+1,""),ROW()-170)),"")</f>
        <v>https://elecciones.comunidad.madrid/es/informacion-electoral/normativa-electoral</v>
      </c>
      <c r="D173" s="99" t="s">
        <v>184</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Calendario electoral</v>
      </c>
      <c r="C174" s="85" t="str" cm="1">
        <f t="array" ref="C174">IFERROR(INDEX('03.Muestra'!$F$8:$F$42,SMALL(IF("Página Web"='03.Muestra'!$D$8:$D$42,ROW('03.Muestra'!$F$8:$F$42)-MIN(ROW('03.Muestra'!$D$8:$D$42))+1,""),ROW()-170)),"")</f>
        <v>https://elecciones.comunidad.madrid/es/informacion-electoral/calendario-electoral</v>
      </c>
      <c r="D174" s="99" t="s">
        <v>184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Direcciones y teléfonos</v>
      </c>
      <c r="C175" s="85" t="str" cm="1">
        <f t="array" ref="C175">IFERROR(INDEX('03.Muestra'!$F$8:$F$42,SMALL(IF("Página Web"='03.Muestra'!$D$8:$D$42,ROW('03.Muestra'!$F$8:$F$42)-MIN(ROW('03.Muestra'!$D$8:$D$42))+1,""),ROW()-170)),"")</f>
        <v>https://elecciones.comunidad.madrid/es/juntas-electorales/direcciones-telefonos</v>
      </c>
      <c r="D175" s="99" t="s">
        <v>184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Impresos electrónicos</v>
      </c>
      <c r="C176" s="85" t="str" cm="1">
        <f t="array" ref="C176">IFERROR(INDEX('03.Muestra'!$F$8:$F$42,SMALL(IF("Página Web"='03.Muestra'!$D$8:$D$42,ROW('03.Muestra'!$F$8:$F$42)-MIN(ROW('03.Muestra'!$D$8:$D$42))+1,""),ROW()-170)),"")</f>
        <v>https://elecciones.comunidad.madrid/es/formaciones-politicas/impresos-electronicos</v>
      </c>
      <c r="D176" s="99" t="s">
        <v>184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Listado de candidaturas</v>
      </c>
      <c r="C177" s="85" t="str" cm="1">
        <f t="array" ref="C177">IFERROR(INDEX('03.Muestra'!$F$8:$F$42,SMALL(IF("Página Web"='03.Muestra'!$D$8:$D$42,ROW('03.Muestra'!$F$8:$F$42)-MIN(ROW('03.Muestra'!$D$8:$D$42))+1,""),ROW()-170)),"")</f>
        <v>https://elecciones.comunidad.madrid/es/formaciones-politicas/listado-candidaturas-proclamadas</v>
      </c>
      <c r="D177" s="99" t="s">
        <v>184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Partido Feminista de España</v>
      </c>
      <c r="C178" s="85" t="str" cm="1">
        <f t="array" ref="C178">IFERROR(INDEX('03.Muestra'!$F$8:$F$42,SMALL(IF("Página Web"='03.Muestra'!$D$8:$D$42,ROW('03.Muestra'!$F$8:$F$42)-MIN(ROW('03.Muestra'!$D$8:$D$42))+1,""),ROW()-170)),"")</f>
        <v>https://elecciones.comunidad.madrid/es/formaciones-politicas/listado-candidaturas/partido-feminista-espana</v>
      </c>
      <c r="D178" s="99" t="s">
        <v>184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¿Dónde voto?</v>
      </c>
      <c r="C179" s="85" t="str" cm="1">
        <f t="array" ref="C179">IFERROR(INDEX('03.Muestra'!$F$8:$F$42,SMALL(IF("Página Web"='03.Muestra'!$D$8:$D$42,ROW('03.Muestra'!$F$8:$F$42)-MIN(ROW('03.Muestra'!$D$8:$D$42))+1,""),ROW()-170)),"")</f>
        <v>https://elecciones.comunidad.madrid/es/votar/donde-voto</v>
      </c>
      <c r="D179" s="99" t="s">
        <v>184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Voto presencial</v>
      </c>
      <c r="C180" s="85" t="str" cm="1">
        <f t="array" ref="C180">IFERROR(INDEX('03.Muestra'!$F$8:$F$42,SMALL(IF("Página Web"='03.Muestra'!$D$8:$D$42,ROW('03.Muestra'!$F$8:$F$42)-MIN(ROW('03.Muestra'!$D$8:$D$42))+1,""),ROW()-170)),"")</f>
        <v>https://elecciones.comunidad.madrid/es/voto-local-electoral/voto-presencial</v>
      </c>
      <c r="D180" s="99" t="s">
        <v>176</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Ciudadanos temporalmente en el extranjero</v>
      </c>
      <c r="C181" s="85" t="str" cm="1">
        <f t="array" ref="C181">IFERROR(INDEX('03.Muestra'!$F$8:$F$42,SMALL(IF("Página Web"='03.Muestra'!$D$8:$D$42,ROW('03.Muestra'!$F$8:$F$42)-MIN(ROW('03.Muestra'!$D$8:$D$42))+1,""),ROW()-170)),"")</f>
        <v>https://elecciones.comunidad.madrid/es/voto-correo/solicitud-voto-temporalmente-ausentes</v>
      </c>
      <c r="D181" s="99" t="s">
        <v>176</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Nuevo votante</v>
      </c>
      <c r="C182" s="85" t="str" cm="1">
        <f t="array" ref="C182">IFERROR(INDEX('03.Muestra'!$F$8:$F$42,SMALL(IF("Página Web"='03.Muestra'!$D$8:$D$42,ROW('03.Muestra'!$F$8:$F$42)-MIN(ROW('03.Muestra'!$D$8:$D$42))+1,""),ROW()-170)),"")</f>
        <v>https://elecciones.comunidad.madrid/es/votar/nuevo-votante</v>
      </c>
      <c r="D182" s="99" t="s">
        <v>176</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Simulación método D'Hondt</v>
      </c>
      <c r="C183" s="85" t="str" cm="1">
        <f t="array" ref="C183">IFERROR(INDEX('03.Muestra'!$F$8:$F$42,SMALL(IF("Página Web"='03.Muestra'!$D$8:$D$42,ROW('03.Muestra'!$F$8:$F$42)-MIN(ROW('03.Muestra'!$D$8:$D$42))+1,""),ROW()-170)),"")</f>
        <v>https://elecciones.comunidad.madrid/es/informacion-util/simulacion-metodo-dhondt</v>
      </c>
      <c r="D183" s="99" t="s">
        <v>184</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Ley D'Hondt</v>
      </c>
      <c r="C184" s="85" t="str" cm="1">
        <f t="array" ref="C184">IFERROR(INDEX('03.Muestra'!$F$8:$F$42,SMALL(IF("Página Web"='03.Muestra'!$D$8:$D$42,ROW('03.Muestra'!$F$8:$F$42)-MIN(ROW('03.Muestra'!$D$8:$D$42))+1,""),ROW()-170)),"")</f>
        <v>https://elecciones.comunidad.madrid/es/resultados/ley_d_hondt</v>
      </c>
      <c r="D184" s="99" t="s">
        <v>184</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Voto por correo elector CERA en España</v>
      </c>
      <c r="C185" s="85" t="str" cm="1">
        <f t="array" ref="C185">IFERROR(INDEX('03.Muestra'!$F$8:$F$42,SMALL(IF("Página Web"='03.Muestra'!$D$8:$D$42,ROW('03.Muestra'!$F$8:$F$42)-MIN(ROW('03.Muestra'!$D$8:$D$42))+1,""),ROW()-170)),"")</f>
        <v>https://elecciones.comunidad.madrid/es/preguntas-frecuentes/voto-correo-electores-residentes-extranjero</v>
      </c>
      <c r="D185" s="99" t="s">
        <v>184</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Contacto</v>
      </c>
      <c r="C186" s="85" t="str" cm="1">
        <f t="array" ref="C186">IFERROR(INDEX('03.Muestra'!$F$8:$F$42,SMALL(IF("Página Web"='03.Muestra'!$D$8:$D$42,ROW('03.Muestra'!$F$8:$F$42)-MIN(ROW('03.Muestra'!$D$8:$D$42))+1,""),ROW()-170)),"")</f>
        <v>https://elecciones.comunidad.madrid/es/buzon-de-sugerencias</v>
      </c>
      <c r="D186" s="99" t="s">
        <v>184</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Buscador</v>
      </c>
      <c r="C187" s="85" t="str" cm="1">
        <f t="array" ref="C187">IFERROR(INDEX('03.Muestra'!$F$8:$F$42,SMALL(IF("Página Web"='03.Muestra'!$D$8:$D$42,ROW('03.Muestra'!$F$8:$F$42)-MIN(ROW('03.Muestra'!$D$8:$D$42))+1,""),ROW()-170)),"")</f>
        <v>https://elecciones.comunidad.madrid/es/search?search_api_fulltext=partido</v>
      </c>
      <c r="D187" s="99" t="s">
        <v>184</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Aviso Legal-Privacidad</v>
      </c>
      <c r="C188" s="85" t="str" cm="1">
        <f t="array" ref="C188">IFERROR(INDEX('03.Muestra'!$F$8:$F$42,SMALL(IF("Página Web"='03.Muestra'!$D$8:$D$42,ROW('03.Muestra'!$F$8:$F$42)-MIN(ROW('03.Muestra'!$D$8:$D$42))+1,""),ROW()-170)),"")</f>
        <v>https://elecciones.comunidad.madrid/es/aviso-legal</v>
      </c>
      <c r="D188" s="99" t="s">
        <v>184</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Mapa Web</v>
      </c>
      <c r="C189" s="85" t="str" cm="1">
        <f t="array" ref="C189">IFERROR(INDEX('03.Muestra'!$F$8:$F$42,SMALL(IF("Página Web"='03.Muestra'!$D$8:$D$42,ROW('03.Muestra'!$F$8:$F$42)-MIN(ROW('03.Muestra'!$D$8:$D$42))+1,""),ROW()-170)),"")</f>
        <v>https://elecciones.comunidad.madrid/es/sitemap</v>
      </c>
      <c r="D189" s="99" t="s">
        <v>184</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Declaracion Accesibilidad</v>
      </c>
      <c r="C190" s="85" t="str" cm="1">
        <f t="array" ref="C190">IFERROR(INDEX('03.Muestra'!$F$8:$F$42,SMALL(IF("Página Web"='03.Muestra'!$D$8:$D$42,ROW('03.Muestra'!$F$8:$F$42)-MIN(ROW('03.Muestra'!$D$8:$D$42))+1,""),ROW()-170)),"")</f>
        <v>https://elecciones.comunidad.madrid/es/accesibilidad</v>
      </c>
      <c r="D190" s="99" t="s">
        <v>184</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181</v>
      </c>
      <c r="B208" s="23" t="s">
        <v>173</v>
      </c>
      <c r="C208" s="24" t="s">
        <v>229</v>
      </c>
      <c r="D208" s="25" t="s">
        <v>183</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https://elecciones.comunidad.madrid/es</v>
      </c>
      <c r="D209" s="99" t="s">
        <v>176</v>
      </c>
      <c r="E209" s="79" t="str">
        <f t="shared" ref="E209:E243" si="10">IF(D209&lt;&gt;"",IF(AND(B209&lt;&gt;"",C209&lt;&gt;""),"","ERR"),"")</f>
        <v/>
      </c>
      <c r="F209" s="86" t="s">
        <v>185</v>
      </c>
      <c r="G209" s="87" t="s">
        <v>186</v>
      </c>
      <c r="H209" s="88" t="s">
        <v>184</v>
      </c>
      <c r="I209" s="89" t="s">
        <v>176</v>
      </c>
      <c r="J209" s="90" t="s">
        <v>174</v>
      </c>
      <c r="K209" s="179" t="s">
        <v>180</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Resultado Elecciones 28M 2023</v>
      </c>
      <c r="C210" s="85" t="str" cm="1">
        <f t="array" ref="C210">IFERROR(INDEX('03.Muestra'!$F$8:$F$42,SMALL(IF("Página Web"='03.Muestra'!$D$8:$D$42,ROW('03.Muestra'!$F$8:$F$42)-MIN(ROW('03.Muestra'!$D$8:$D$42))+1,""),ROW()-208)),"")</f>
        <v>https://elecciones.comunidad.madrid/es/resultados-elecciones-asamblea-madrid-28m-2023</v>
      </c>
      <c r="D210" s="99" t="s">
        <v>176</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20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Normativa electoral</v>
      </c>
      <c r="C211" s="85" t="str" cm="1">
        <f t="array" ref="C211">IFERROR(INDEX('03.Muestra'!$F$8:$F$42,SMALL(IF("Página Web"='03.Muestra'!$D$8:$D$42,ROW('03.Muestra'!$F$8:$F$42)-MIN(ROW('03.Muestra'!$D$8:$D$42))+1,""),ROW()-208)),"")</f>
        <v>https://elecciones.comunidad.madrid/es/informacion-electoral/normativa-electoral</v>
      </c>
      <c r="D211" s="99" t="s">
        <v>176</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Calendario electoral</v>
      </c>
      <c r="C212" s="85" t="str" cm="1">
        <f t="array" ref="C212">IFERROR(INDEX('03.Muestra'!$F$8:$F$42,SMALL(IF("Página Web"='03.Muestra'!$D$8:$D$42,ROW('03.Muestra'!$F$8:$F$42)-MIN(ROW('03.Muestra'!$D$8:$D$42))+1,""),ROW()-208)),"")</f>
        <v>https://elecciones.comunidad.madrid/es/informacion-electoral/calendario-electoral</v>
      </c>
      <c r="D212" s="99" t="s">
        <v>176</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Direcciones y teléfonos</v>
      </c>
      <c r="C213" s="85" t="str" cm="1">
        <f t="array" ref="C213">IFERROR(INDEX('03.Muestra'!$F$8:$F$42,SMALL(IF("Página Web"='03.Muestra'!$D$8:$D$42,ROW('03.Muestra'!$F$8:$F$42)-MIN(ROW('03.Muestra'!$D$8:$D$42))+1,""),ROW()-208)),"")</f>
        <v>https://elecciones.comunidad.madrid/es/juntas-electorales/direcciones-telefonos</v>
      </c>
      <c r="D213" s="99" t="s">
        <v>176</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Impresos electrónicos</v>
      </c>
      <c r="C214" s="85" t="str" cm="1">
        <f t="array" ref="C214">IFERROR(INDEX('03.Muestra'!$F$8:$F$42,SMALL(IF("Página Web"='03.Muestra'!$D$8:$D$42,ROW('03.Muestra'!$F$8:$F$42)-MIN(ROW('03.Muestra'!$D$8:$D$42))+1,""),ROW()-208)),"")</f>
        <v>https://elecciones.comunidad.madrid/es/formaciones-politicas/impresos-electronicos</v>
      </c>
      <c r="D214" s="99" t="s">
        <v>176</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Listado de candidaturas</v>
      </c>
      <c r="C215" s="85" t="str" cm="1">
        <f t="array" ref="C215">IFERROR(INDEX('03.Muestra'!$F$8:$F$42,SMALL(IF("Página Web"='03.Muestra'!$D$8:$D$42,ROW('03.Muestra'!$F$8:$F$42)-MIN(ROW('03.Muestra'!$D$8:$D$42))+1,""),ROW()-208)),"")</f>
        <v>https://elecciones.comunidad.madrid/es/formaciones-politicas/listado-candidaturas-proclamadas</v>
      </c>
      <c r="D215" s="99" t="s">
        <v>176</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Partido Feminista de España</v>
      </c>
      <c r="C216" s="85" t="str" cm="1">
        <f t="array" ref="C216">IFERROR(INDEX('03.Muestra'!$F$8:$F$42,SMALL(IF("Página Web"='03.Muestra'!$D$8:$D$42,ROW('03.Muestra'!$F$8:$F$42)-MIN(ROW('03.Muestra'!$D$8:$D$42))+1,""),ROW()-208)),"")</f>
        <v>https://elecciones.comunidad.madrid/es/formaciones-politicas/listado-candidaturas/partido-feminista-espana</v>
      </c>
      <c r="D216" s="99" t="s">
        <v>176</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¿Dónde voto?</v>
      </c>
      <c r="C217" s="85" t="str" cm="1">
        <f t="array" ref="C217">IFERROR(INDEX('03.Muestra'!$F$8:$F$42,SMALL(IF("Página Web"='03.Muestra'!$D$8:$D$42,ROW('03.Muestra'!$F$8:$F$42)-MIN(ROW('03.Muestra'!$D$8:$D$42))+1,""),ROW()-208)),"")</f>
        <v>https://elecciones.comunidad.madrid/es/votar/donde-voto</v>
      </c>
      <c r="D217" s="99" t="s">
        <v>176</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Voto presencial</v>
      </c>
      <c r="C218" s="85" t="str" cm="1">
        <f t="array" ref="C218">IFERROR(INDEX('03.Muestra'!$F$8:$F$42,SMALL(IF("Página Web"='03.Muestra'!$D$8:$D$42,ROW('03.Muestra'!$F$8:$F$42)-MIN(ROW('03.Muestra'!$D$8:$D$42))+1,""),ROW()-208)),"")</f>
        <v>https://elecciones.comunidad.madrid/es/voto-local-electoral/voto-presencial</v>
      </c>
      <c r="D218" s="99" t="s">
        <v>176</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Ciudadanos temporalmente en el extranjero</v>
      </c>
      <c r="C219" s="85" t="str" cm="1">
        <f t="array" ref="C219">IFERROR(INDEX('03.Muestra'!$F$8:$F$42,SMALL(IF("Página Web"='03.Muestra'!$D$8:$D$42,ROW('03.Muestra'!$F$8:$F$42)-MIN(ROW('03.Muestra'!$D$8:$D$42))+1,""),ROW()-208)),"")</f>
        <v>https://elecciones.comunidad.madrid/es/voto-correo/solicitud-voto-temporalmente-ausentes</v>
      </c>
      <c r="D219" s="99" t="s">
        <v>176</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Nuevo votante</v>
      </c>
      <c r="C220" s="85" t="str" cm="1">
        <f t="array" ref="C220">IFERROR(INDEX('03.Muestra'!$F$8:$F$42,SMALL(IF("Página Web"='03.Muestra'!$D$8:$D$42,ROW('03.Muestra'!$F$8:$F$42)-MIN(ROW('03.Muestra'!$D$8:$D$42))+1,""),ROW()-208)),"")</f>
        <v>https://elecciones.comunidad.madrid/es/votar/nuevo-votante</v>
      </c>
      <c r="D220" s="99" t="s">
        <v>176</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Simulación método D'Hondt</v>
      </c>
      <c r="C221" s="85" t="str" cm="1">
        <f t="array" ref="C221">IFERROR(INDEX('03.Muestra'!$F$8:$F$42,SMALL(IF("Página Web"='03.Muestra'!$D$8:$D$42,ROW('03.Muestra'!$F$8:$F$42)-MIN(ROW('03.Muestra'!$D$8:$D$42))+1,""),ROW()-208)),"")</f>
        <v>https://elecciones.comunidad.madrid/es/informacion-util/simulacion-metodo-dhondt</v>
      </c>
      <c r="D221" s="99" t="s">
        <v>176</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Ley D'Hondt</v>
      </c>
      <c r="C222" s="85" t="str" cm="1">
        <f t="array" ref="C222">IFERROR(INDEX('03.Muestra'!$F$8:$F$42,SMALL(IF("Página Web"='03.Muestra'!$D$8:$D$42,ROW('03.Muestra'!$F$8:$F$42)-MIN(ROW('03.Muestra'!$D$8:$D$42))+1,""),ROW()-208)),"")</f>
        <v>https://elecciones.comunidad.madrid/es/resultados/ley_d_hondt</v>
      </c>
      <c r="D222" s="99" t="s">
        <v>176</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Voto por correo elector CERA en España</v>
      </c>
      <c r="C223" s="85" t="str" cm="1">
        <f t="array" ref="C223">IFERROR(INDEX('03.Muestra'!$F$8:$F$42,SMALL(IF("Página Web"='03.Muestra'!$D$8:$D$42,ROW('03.Muestra'!$F$8:$F$42)-MIN(ROW('03.Muestra'!$D$8:$D$42))+1,""),ROW()-208)),"")</f>
        <v>https://elecciones.comunidad.madrid/es/preguntas-frecuentes/voto-correo-electores-residentes-extranjero</v>
      </c>
      <c r="D223" s="99" t="s">
        <v>176</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Contacto</v>
      </c>
      <c r="C224" s="85" t="str" cm="1">
        <f t="array" ref="C224">IFERROR(INDEX('03.Muestra'!$F$8:$F$42,SMALL(IF("Página Web"='03.Muestra'!$D$8:$D$42,ROW('03.Muestra'!$F$8:$F$42)-MIN(ROW('03.Muestra'!$D$8:$D$42))+1,""),ROW()-208)),"")</f>
        <v>https://elecciones.comunidad.madrid/es/buzon-de-sugerencias</v>
      </c>
      <c r="D224" s="99" t="s">
        <v>176</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Buscador</v>
      </c>
      <c r="C225" s="85" t="str" cm="1">
        <f t="array" ref="C225">IFERROR(INDEX('03.Muestra'!$F$8:$F$42,SMALL(IF("Página Web"='03.Muestra'!$D$8:$D$42,ROW('03.Muestra'!$F$8:$F$42)-MIN(ROW('03.Muestra'!$D$8:$D$42))+1,""),ROW()-208)),"")</f>
        <v>https://elecciones.comunidad.madrid/es/search?search_api_fulltext=partido</v>
      </c>
      <c r="D225" s="99" t="s">
        <v>176</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Aviso Legal-Privacidad</v>
      </c>
      <c r="C226" s="85" t="str" cm="1">
        <f t="array" ref="C226">IFERROR(INDEX('03.Muestra'!$F$8:$F$42,SMALL(IF("Página Web"='03.Muestra'!$D$8:$D$42,ROW('03.Muestra'!$F$8:$F$42)-MIN(ROW('03.Muestra'!$D$8:$D$42))+1,""),ROW()-208)),"")</f>
        <v>https://elecciones.comunidad.madrid/es/aviso-legal</v>
      </c>
      <c r="D226" s="99" t="s">
        <v>176</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Mapa Web</v>
      </c>
      <c r="C227" s="85" t="str" cm="1">
        <f t="array" ref="C227">IFERROR(INDEX('03.Muestra'!$F$8:$F$42,SMALL(IF("Página Web"='03.Muestra'!$D$8:$D$42,ROW('03.Muestra'!$F$8:$F$42)-MIN(ROW('03.Muestra'!$D$8:$D$42))+1,""),ROW()-208)),"")</f>
        <v>https://elecciones.comunidad.madrid/es/sitemap</v>
      </c>
      <c r="D227" s="99" t="s">
        <v>176</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Declaracion Accesibilidad</v>
      </c>
      <c r="C228" s="85" t="str" cm="1">
        <f t="array" ref="C228">IFERROR(INDEX('03.Muestra'!$F$8:$F$42,SMALL(IF("Página Web"='03.Muestra'!$D$8:$D$42,ROW('03.Muestra'!$F$8:$F$42)-MIN(ROW('03.Muestra'!$D$8:$D$42))+1,""),ROW()-208)),"")</f>
        <v>https://elecciones.comunidad.madrid/es/accesibilidad</v>
      </c>
      <c r="D228" s="99" t="s">
        <v>176</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181</v>
      </c>
      <c r="B246" s="23" t="s">
        <v>173</v>
      </c>
      <c r="C246" s="24" t="s">
        <v>230</v>
      </c>
      <c r="D246" s="25" t="s">
        <v>183</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https://elecciones.comunidad.madrid/es</v>
      </c>
      <c r="D247" s="99" t="s">
        <v>176</v>
      </c>
      <c r="E247" s="79" t="str">
        <f t="shared" ref="E247:E281" si="12">IF(D247&lt;&gt;"",IF(AND(B247&lt;&gt;"",C247&lt;&gt;""),"","ERR"),"")</f>
        <v/>
      </c>
      <c r="F247" s="86" t="s">
        <v>185</v>
      </c>
      <c r="G247" s="87" t="s">
        <v>186</v>
      </c>
      <c r="H247" s="88" t="s">
        <v>184</v>
      </c>
      <c r="I247" s="89" t="s">
        <v>176</v>
      </c>
      <c r="J247" s="90" t="s">
        <v>174</v>
      </c>
      <c r="K247" s="179" t="s">
        <v>180</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Resultado Elecciones 28M 2023</v>
      </c>
      <c r="C248" s="85" t="str" cm="1">
        <f t="array" ref="C248">IFERROR(INDEX('03.Muestra'!$F$8:$F$42,SMALL(IF("Página Web"='03.Muestra'!$D$8:$D$42,ROW('03.Muestra'!$F$8:$F$42)-MIN(ROW('03.Muestra'!$D$8:$D$42))+1,""),ROW()-246)),"")</f>
        <v>https://elecciones.comunidad.madrid/es/resultados-elecciones-asamblea-madrid-28m-2023</v>
      </c>
      <c r="D248" s="99" t="s">
        <v>176</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20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Normativa electoral</v>
      </c>
      <c r="C249" s="85" t="str" cm="1">
        <f t="array" ref="C249">IFERROR(INDEX('03.Muestra'!$F$8:$F$42,SMALL(IF("Página Web"='03.Muestra'!$D$8:$D$42,ROW('03.Muestra'!$F$8:$F$42)-MIN(ROW('03.Muestra'!$D$8:$D$42))+1,""),ROW()-246)),"")</f>
        <v>https://elecciones.comunidad.madrid/es/informacion-electoral/normativa-electoral</v>
      </c>
      <c r="D249" s="99" t="s">
        <v>176</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Calendario electoral</v>
      </c>
      <c r="C250" s="85" t="str" cm="1">
        <f t="array" ref="C250">IFERROR(INDEX('03.Muestra'!$F$8:$F$42,SMALL(IF("Página Web"='03.Muestra'!$D$8:$D$42,ROW('03.Muestra'!$F$8:$F$42)-MIN(ROW('03.Muestra'!$D$8:$D$42))+1,""),ROW()-246)),"")</f>
        <v>https://elecciones.comunidad.madrid/es/informacion-electoral/calendario-electoral</v>
      </c>
      <c r="D250" s="99" t="s">
        <v>176</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Direcciones y teléfonos</v>
      </c>
      <c r="C251" s="85" t="str" cm="1">
        <f t="array" ref="C251">IFERROR(INDEX('03.Muestra'!$F$8:$F$42,SMALL(IF("Página Web"='03.Muestra'!$D$8:$D$42,ROW('03.Muestra'!$F$8:$F$42)-MIN(ROW('03.Muestra'!$D$8:$D$42))+1,""),ROW()-246)),"")</f>
        <v>https://elecciones.comunidad.madrid/es/juntas-electorales/direcciones-telefonos</v>
      </c>
      <c r="D251" s="99" t="s">
        <v>176</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Impresos electrónicos</v>
      </c>
      <c r="C252" s="85" t="str" cm="1">
        <f t="array" ref="C252">IFERROR(INDEX('03.Muestra'!$F$8:$F$42,SMALL(IF("Página Web"='03.Muestra'!$D$8:$D$42,ROW('03.Muestra'!$F$8:$F$42)-MIN(ROW('03.Muestra'!$D$8:$D$42))+1,""),ROW()-246)),"")</f>
        <v>https://elecciones.comunidad.madrid/es/formaciones-politicas/impresos-electronicos</v>
      </c>
      <c r="D252" s="99" t="s">
        <v>176</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Listado de candidaturas</v>
      </c>
      <c r="C253" s="85" t="str" cm="1">
        <f t="array" ref="C253">IFERROR(INDEX('03.Muestra'!$F$8:$F$42,SMALL(IF("Página Web"='03.Muestra'!$D$8:$D$42,ROW('03.Muestra'!$F$8:$F$42)-MIN(ROW('03.Muestra'!$D$8:$D$42))+1,""),ROW()-246)),"")</f>
        <v>https://elecciones.comunidad.madrid/es/formaciones-politicas/listado-candidaturas-proclamadas</v>
      </c>
      <c r="D253" s="99" t="s">
        <v>176</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Partido Feminista de España</v>
      </c>
      <c r="C254" s="85" t="str" cm="1">
        <f t="array" ref="C254">IFERROR(INDEX('03.Muestra'!$F$8:$F$42,SMALL(IF("Página Web"='03.Muestra'!$D$8:$D$42,ROW('03.Muestra'!$F$8:$F$42)-MIN(ROW('03.Muestra'!$D$8:$D$42))+1,""),ROW()-246)),"")</f>
        <v>https://elecciones.comunidad.madrid/es/formaciones-politicas/listado-candidaturas/partido-feminista-espana</v>
      </c>
      <c r="D254" s="99" t="s">
        <v>176</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¿Dónde voto?</v>
      </c>
      <c r="C255" s="85" t="str" cm="1">
        <f t="array" ref="C255">IFERROR(INDEX('03.Muestra'!$F$8:$F$42,SMALL(IF("Página Web"='03.Muestra'!$D$8:$D$42,ROW('03.Muestra'!$F$8:$F$42)-MIN(ROW('03.Muestra'!$D$8:$D$42))+1,""),ROW()-246)),"")</f>
        <v>https://elecciones.comunidad.madrid/es/votar/donde-voto</v>
      </c>
      <c r="D255" s="99" t="s">
        <v>176</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Voto presencial</v>
      </c>
      <c r="C256" s="85" t="str" cm="1">
        <f t="array" ref="C256">IFERROR(INDEX('03.Muestra'!$F$8:$F$42,SMALL(IF("Página Web"='03.Muestra'!$D$8:$D$42,ROW('03.Muestra'!$F$8:$F$42)-MIN(ROW('03.Muestra'!$D$8:$D$42))+1,""),ROW()-246)),"")</f>
        <v>https://elecciones.comunidad.madrid/es/voto-local-electoral/voto-presencial</v>
      </c>
      <c r="D256" s="99" t="s">
        <v>176</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Ciudadanos temporalmente en el extranjero</v>
      </c>
      <c r="C257" s="85" t="str" cm="1">
        <f t="array" ref="C257">IFERROR(INDEX('03.Muestra'!$F$8:$F$42,SMALL(IF("Página Web"='03.Muestra'!$D$8:$D$42,ROW('03.Muestra'!$F$8:$F$42)-MIN(ROW('03.Muestra'!$D$8:$D$42))+1,""),ROW()-246)),"")</f>
        <v>https://elecciones.comunidad.madrid/es/voto-correo/solicitud-voto-temporalmente-ausentes</v>
      </c>
      <c r="D257" s="99" t="s">
        <v>176</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Nuevo votante</v>
      </c>
      <c r="C258" s="85" t="str" cm="1">
        <f t="array" ref="C258">IFERROR(INDEX('03.Muestra'!$F$8:$F$42,SMALL(IF("Página Web"='03.Muestra'!$D$8:$D$42,ROW('03.Muestra'!$F$8:$F$42)-MIN(ROW('03.Muestra'!$D$8:$D$42))+1,""),ROW()-246)),"")</f>
        <v>https://elecciones.comunidad.madrid/es/votar/nuevo-votante</v>
      </c>
      <c r="D258" s="99" t="s">
        <v>176</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Simulación método D'Hondt</v>
      </c>
      <c r="C259" s="85" t="str" cm="1">
        <f t="array" ref="C259">IFERROR(INDEX('03.Muestra'!$F$8:$F$42,SMALL(IF("Página Web"='03.Muestra'!$D$8:$D$42,ROW('03.Muestra'!$F$8:$F$42)-MIN(ROW('03.Muestra'!$D$8:$D$42))+1,""),ROW()-246)),"")</f>
        <v>https://elecciones.comunidad.madrid/es/informacion-util/simulacion-metodo-dhondt</v>
      </c>
      <c r="D259" s="99" t="s">
        <v>176</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Ley D'Hondt</v>
      </c>
      <c r="C260" s="85" t="str" cm="1">
        <f t="array" ref="C260">IFERROR(INDEX('03.Muestra'!$F$8:$F$42,SMALL(IF("Página Web"='03.Muestra'!$D$8:$D$42,ROW('03.Muestra'!$F$8:$F$42)-MIN(ROW('03.Muestra'!$D$8:$D$42))+1,""),ROW()-246)),"")</f>
        <v>https://elecciones.comunidad.madrid/es/resultados/ley_d_hondt</v>
      </c>
      <c r="D260" s="99" t="s">
        <v>176</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Voto por correo elector CERA en España</v>
      </c>
      <c r="C261" s="85" t="str" cm="1">
        <f t="array" ref="C261">IFERROR(INDEX('03.Muestra'!$F$8:$F$42,SMALL(IF("Página Web"='03.Muestra'!$D$8:$D$42,ROW('03.Muestra'!$F$8:$F$42)-MIN(ROW('03.Muestra'!$D$8:$D$42))+1,""),ROW()-246)),"")</f>
        <v>https://elecciones.comunidad.madrid/es/preguntas-frecuentes/voto-correo-electores-residentes-extranjero</v>
      </c>
      <c r="D261" s="99" t="s">
        <v>176</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Contacto</v>
      </c>
      <c r="C262" s="85" t="str" cm="1">
        <f t="array" ref="C262">IFERROR(INDEX('03.Muestra'!$F$8:$F$42,SMALL(IF("Página Web"='03.Muestra'!$D$8:$D$42,ROW('03.Muestra'!$F$8:$F$42)-MIN(ROW('03.Muestra'!$D$8:$D$42))+1,""),ROW()-246)),"")</f>
        <v>https://elecciones.comunidad.madrid/es/buzon-de-sugerencias</v>
      </c>
      <c r="D262" s="99" t="s">
        <v>176</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Buscador</v>
      </c>
      <c r="C263" s="85" t="str" cm="1">
        <f t="array" ref="C263">IFERROR(INDEX('03.Muestra'!$F$8:$F$42,SMALL(IF("Página Web"='03.Muestra'!$D$8:$D$42,ROW('03.Muestra'!$F$8:$F$42)-MIN(ROW('03.Muestra'!$D$8:$D$42))+1,""),ROW()-246)),"")</f>
        <v>https://elecciones.comunidad.madrid/es/search?search_api_fulltext=partido</v>
      </c>
      <c r="D263" s="99" t="s">
        <v>176</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cm="1">
        <f t="array" ref="A264">IFERROR(INDEX('03.Muestra'!$B$8:$B$42,SMALL(IF("Página Web"='03.Muestra'!$D$8:$D$42,ROW('03.Muestra'!$B$8:$B$42)-MIN(ROW('03.Muestra'!$D$8:$D$42))+1,""),ROW()-246)),"")</f>
        <v>18</v>
      </c>
      <c r="B264" s="85" t="str" cm="1">
        <f t="array" ref="B264">IFERROR(INDEX('03.Muestra'!$C$8:$C$42,SMALL(IF("Página Web"='03.Muestra'!$D$8:$D$42,ROW('03.Muestra'!$C$8:$C$42)-MIN(ROW('03.Muestra'!$D$8:$D$42))+1,""),ROW()-246)),"")</f>
        <v>Aviso Legal-Privacidad</v>
      </c>
      <c r="C264" s="85" t="str" cm="1">
        <f t="array" ref="C264">IFERROR(INDEX('03.Muestra'!$F$8:$F$42,SMALL(IF("Página Web"='03.Muestra'!$D$8:$D$42,ROW('03.Muestra'!$F$8:$F$42)-MIN(ROW('03.Muestra'!$D$8:$D$42))+1,""),ROW()-246)),"")</f>
        <v>https://elecciones.comunidad.madrid/es/aviso-legal</v>
      </c>
      <c r="D264" s="99" t="s">
        <v>176</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cm="1">
        <f t="array" ref="A265">IFERROR(INDEX('03.Muestra'!$B$8:$B$42,SMALL(IF("Página Web"='03.Muestra'!$D$8:$D$42,ROW('03.Muestra'!$B$8:$B$42)-MIN(ROW('03.Muestra'!$D$8:$D$42))+1,""),ROW()-246)),"")</f>
        <v>19</v>
      </c>
      <c r="B265" s="85" t="str" cm="1">
        <f t="array" ref="B265">IFERROR(INDEX('03.Muestra'!$C$8:$C$42,SMALL(IF("Página Web"='03.Muestra'!$D$8:$D$42,ROW('03.Muestra'!$C$8:$C$42)-MIN(ROW('03.Muestra'!$D$8:$D$42))+1,""),ROW()-246)),"")</f>
        <v>Mapa Web</v>
      </c>
      <c r="C265" s="85" t="str" cm="1">
        <f t="array" ref="C265">IFERROR(INDEX('03.Muestra'!$F$8:$F$42,SMALL(IF("Página Web"='03.Muestra'!$D$8:$D$42,ROW('03.Muestra'!$F$8:$F$42)-MIN(ROW('03.Muestra'!$D$8:$D$42))+1,""),ROW()-246)),"")</f>
        <v>https://elecciones.comunidad.madrid/es/sitemap</v>
      </c>
      <c r="D265" s="99" t="s">
        <v>176</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cm="1">
        <f t="array" ref="A266">IFERROR(INDEX('03.Muestra'!$B$8:$B$42,SMALL(IF("Página Web"='03.Muestra'!$D$8:$D$42,ROW('03.Muestra'!$B$8:$B$42)-MIN(ROW('03.Muestra'!$D$8:$D$42))+1,""),ROW()-246)),"")</f>
        <v>20</v>
      </c>
      <c r="B266" s="85" t="str" cm="1">
        <f t="array" ref="B266">IFERROR(INDEX('03.Muestra'!$C$8:$C$42,SMALL(IF("Página Web"='03.Muestra'!$D$8:$D$42,ROW('03.Muestra'!$C$8:$C$42)-MIN(ROW('03.Muestra'!$D$8:$D$42))+1,""),ROW()-246)),"")</f>
        <v>Declaracion Accesibilidad</v>
      </c>
      <c r="C266" s="85" t="str" cm="1">
        <f t="array" ref="C266">IFERROR(INDEX('03.Muestra'!$F$8:$F$42,SMALL(IF("Página Web"='03.Muestra'!$D$8:$D$42,ROW('03.Muestra'!$F$8:$F$42)-MIN(ROW('03.Muestra'!$D$8:$D$42))+1,""),ROW()-246)),"")</f>
        <v>https://elecciones.comunidad.madrid/es/accesibilidad</v>
      </c>
      <c r="D266" s="99" t="s">
        <v>176</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ref="D267:D281" si="13">IF(AND(B267&lt;&gt;"",C267&lt;&gt;""),"N/T","")</f>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181</v>
      </c>
      <c r="B284" s="23" t="s">
        <v>173</v>
      </c>
      <c r="C284" s="24" t="s">
        <v>231</v>
      </c>
      <c r="D284" s="25" t="s">
        <v>183</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https://elecciones.comunidad.madrid/es</v>
      </c>
      <c r="D285" s="99" t="s">
        <v>176</v>
      </c>
      <c r="E285" s="79" t="str">
        <f t="shared" ref="E285:E319" si="14">IF(D285&lt;&gt;"",IF(AND(B285&lt;&gt;"",C285&lt;&gt;""),"","ERR"),"")</f>
        <v/>
      </c>
      <c r="F285" s="86" t="s">
        <v>185</v>
      </c>
      <c r="G285" s="87" t="s">
        <v>186</v>
      </c>
      <c r="H285" s="88" t="s">
        <v>184</v>
      </c>
      <c r="I285" s="89" t="s">
        <v>176</v>
      </c>
      <c r="J285" s="90" t="s">
        <v>174</v>
      </c>
      <c r="K285" s="179" t="s">
        <v>180</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Resultado Elecciones 28M 2023</v>
      </c>
      <c r="C286" s="85" t="str" cm="1">
        <f t="array" ref="C286">IFERROR(INDEX('03.Muestra'!$F$8:$F$42,SMALL(IF("Página Web"='03.Muestra'!$D$8:$D$42,ROW('03.Muestra'!$F$8:$F$42)-MIN(ROW('03.Muestra'!$D$8:$D$42))+1,""),ROW()-284)),"")</f>
        <v>https://elecciones.comunidad.madrid/es/resultados-elecciones-asamblea-madrid-28m-2023</v>
      </c>
      <c r="D286" s="99" t="s">
        <v>176</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20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Normativa electoral</v>
      </c>
      <c r="C287" s="85" t="str" cm="1">
        <f t="array" ref="C287">IFERROR(INDEX('03.Muestra'!$F$8:$F$42,SMALL(IF("Página Web"='03.Muestra'!$D$8:$D$42,ROW('03.Muestra'!$F$8:$F$42)-MIN(ROW('03.Muestra'!$D$8:$D$42))+1,""),ROW()-284)),"")</f>
        <v>https://elecciones.comunidad.madrid/es/informacion-electoral/normativa-electoral</v>
      </c>
      <c r="D287" s="99" t="s">
        <v>176</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Calendario electoral</v>
      </c>
      <c r="C288" s="85" t="str" cm="1">
        <f t="array" ref="C288">IFERROR(INDEX('03.Muestra'!$F$8:$F$42,SMALL(IF("Página Web"='03.Muestra'!$D$8:$D$42,ROW('03.Muestra'!$F$8:$F$42)-MIN(ROW('03.Muestra'!$D$8:$D$42))+1,""),ROW()-284)),"")</f>
        <v>https://elecciones.comunidad.madrid/es/informacion-electoral/calendario-electoral</v>
      </c>
      <c r="D288" s="99" t="s">
        <v>176</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Direcciones y teléfonos</v>
      </c>
      <c r="C289" s="85" t="str" cm="1">
        <f t="array" ref="C289">IFERROR(INDEX('03.Muestra'!$F$8:$F$42,SMALL(IF("Página Web"='03.Muestra'!$D$8:$D$42,ROW('03.Muestra'!$F$8:$F$42)-MIN(ROW('03.Muestra'!$D$8:$D$42))+1,""),ROW()-284)),"")</f>
        <v>https://elecciones.comunidad.madrid/es/juntas-electorales/direcciones-telefonos</v>
      </c>
      <c r="D289" s="99" t="s">
        <v>176</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Impresos electrónicos</v>
      </c>
      <c r="C290" s="85" t="str" cm="1">
        <f t="array" ref="C290">IFERROR(INDEX('03.Muestra'!$F$8:$F$42,SMALL(IF("Página Web"='03.Muestra'!$D$8:$D$42,ROW('03.Muestra'!$F$8:$F$42)-MIN(ROW('03.Muestra'!$D$8:$D$42))+1,""),ROW()-284)),"")</f>
        <v>https://elecciones.comunidad.madrid/es/formaciones-politicas/impresos-electronicos</v>
      </c>
      <c r="D290" s="99" t="s">
        <v>176</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Listado de candidaturas</v>
      </c>
      <c r="C291" s="85" t="str" cm="1">
        <f t="array" ref="C291">IFERROR(INDEX('03.Muestra'!$F$8:$F$42,SMALL(IF("Página Web"='03.Muestra'!$D$8:$D$42,ROW('03.Muestra'!$F$8:$F$42)-MIN(ROW('03.Muestra'!$D$8:$D$42))+1,""),ROW()-284)),"")</f>
        <v>https://elecciones.comunidad.madrid/es/formaciones-politicas/listado-candidaturas-proclamadas</v>
      </c>
      <c r="D291" s="99" t="s">
        <v>176</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Partido Feminista de España</v>
      </c>
      <c r="C292" s="85" t="str" cm="1">
        <f t="array" ref="C292">IFERROR(INDEX('03.Muestra'!$F$8:$F$42,SMALL(IF("Página Web"='03.Muestra'!$D$8:$D$42,ROW('03.Muestra'!$F$8:$F$42)-MIN(ROW('03.Muestra'!$D$8:$D$42))+1,""),ROW()-284)),"")</f>
        <v>https://elecciones.comunidad.madrid/es/formaciones-politicas/listado-candidaturas/partido-feminista-espana</v>
      </c>
      <c r="D292" s="99" t="s">
        <v>176</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¿Dónde voto?</v>
      </c>
      <c r="C293" s="85" t="str" cm="1">
        <f t="array" ref="C293">IFERROR(INDEX('03.Muestra'!$F$8:$F$42,SMALL(IF("Página Web"='03.Muestra'!$D$8:$D$42,ROW('03.Muestra'!$F$8:$F$42)-MIN(ROW('03.Muestra'!$D$8:$D$42))+1,""),ROW()-284)),"")</f>
        <v>https://elecciones.comunidad.madrid/es/votar/donde-voto</v>
      </c>
      <c r="D293" s="99" t="s">
        <v>176</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Voto presencial</v>
      </c>
      <c r="C294" s="85" t="str" cm="1">
        <f t="array" ref="C294">IFERROR(INDEX('03.Muestra'!$F$8:$F$42,SMALL(IF("Página Web"='03.Muestra'!$D$8:$D$42,ROW('03.Muestra'!$F$8:$F$42)-MIN(ROW('03.Muestra'!$D$8:$D$42))+1,""),ROW()-284)),"")</f>
        <v>https://elecciones.comunidad.madrid/es/voto-local-electoral/voto-presencial</v>
      </c>
      <c r="D294" s="99" t="s">
        <v>176</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Ciudadanos temporalmente en el extranjero</v>
      </c>
      <c r="C295" s="85" t="str" cm="1">
        <f t="array" ref="C295">IFERROR(INDEX('03.Muestra'!$F$8:$F$42,SMALL(IF("Página Web"='03.Muestra'!$D$8:$D$42,ROW('03.Muestra'!$F$8:$F$42)-MIN(ROW('03.Muestra'!$D$8:$D$42))+1,""),ROW()-284)),"")</f>
        <v>https://elecciones.comunidad.madrid/es/voto-correo/solicitud-voto-temporalmente-ausentes</v>
      </c>
      <c r="D295" s="99" t="s">
        <v>176</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Nuevo votante</v>
      </c>
      <c r="C296" s="85" t="str" cm="1">
        <f t="array" ref="C296">IFERROR(INDEX('03.Muestra'!$F$8:$F$42,SMALL(IF("Página Web"='03.Muestra'!$D$8:$D$42,ROW('03.Muestra'!$F$8:$F$42)-MIN(ROW('03.Muestra'!$D$8:$D$42))+1,""),ROW()-284)),"")</f>
        <v>https://elecciones.comunidad.madrid/es/votar/nuevo-votante</v>
      </c>
      <c r="D296" s="99" t="s">
        <v>176</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Simulación método D'Hondt</v>
      </c>
      <c r="C297" s="85" t="str" cm="1">
        <f t="array" ref="C297">IFERROR(INDEX('03.Muestra'!$F$8:$F$42,SMALL(IF("Página Web"='03.Muestra'!$D$8:$D$42,ROW('03.Muestra'!$F$8:$F$42)-MIN(ROW('03.Muestra'!$D$8:$D$42))+1,""),ROW()-284)),"")</f>
        <v>https://elecciones.comunidad.madrid/es/informacion-util/simulacion-metodo-dhondt</v>
      </c>
      <c r="D297" s="99" t="s">
        <v>176</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Ley D'Hondt</v>
      </c>
      <c r="C298" s="85" t="str" cm="1">
        <f t="array" ref="C298">IFERROR(INDEX('03.Muestra'!$F$8:$F$42,SMALL(IF("Página Web"='03.Muestra'!$D$8:$D$42,ROW('03.Muestra'!$F$8:$F$42)-MIN(ROW('03.Muestra'!$D$8:$D$42))+1,""),ROW()-284)),"")</f>
        <v>https://elecciones.comunidad.madrid/es/resultados/ley_d_hondt</v>
      </c>
      <c r="D298" s="99" t="s">
        <v>176</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Voto por correo elector CERA en España</v>
      </c>
      <c r="C299" s="85" t="str" cm="1">
        <f t="array" ref="C299">IFERROR(INDEX('03.Muestra'!$F$8:$F$42,SMALL(IF("Página Web"='03.Muestra'!$D$8:$D$42,ROW('03.Muestra'!$F$8:$F$42)-MIN(ROW('03.Muestra'!$D$8:$D$42))+1,""),ROW()-284)),"")</f>
        <v>https://elecciones.comunidad.madrid/es/preguntas-frecuentes/voto-correo-electores-residentes-extranjero</v>
      </c>
      <c r="D299" s="99" t="s">
        <v>176</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Contacto</v>
      </c>
      <c r="C300" s="85" t="str" cm="1">
        <f t="array" ref="C300">IFERROR(INDEX('03.Muestra'!$F$8:$F$42,SMALL(IF("Página Web"='03.Muestra'!$D$8:$D$42,ROW('03.Muestra'!$F$8:$F$42)-MIN(ROW('03.Muestra'!$D$8:$D$42))+1,""),ROW()-284)),"")</f>
        <v>https://elecciones.comunidad.madrid/es/buzon-de-sugerencias</v>
      </c>
      <c r="D300" s="99" t="s">
        <v>176</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Buscador</v>
      </c>
      <c r="C301" s="85" t="str" cm="1">
        <f t="array" ref="C301">IFERROR(INDEX('03.Muestra'!$F$8:$F$42,SMALL(IF("Página Web"='03.Muestra'!$D$8:$D$42,ROW('03.Muestra'!$F$8:$F$42)-MIN(ROW('03.Muestra'!$D$8:$D$42))+1,""),ROW()-284)),"")</f>
        <v>https://elecciones.comunidad.madrid/es/search?search_api_fulltext=partido</v>
      </c>
      <c r="D301" s="99" t="s">
        <v>176</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cm="1">
        <f t="array" ref="A302">IFERROR(INDEX('03.Muestra'!$B$8:$B$42,SMALL(IF("Página Web"='03.Muestra'!$D$8:$D$42,ROW('03.Muestra'!$B$8:$B$42)-MIN(ROW('03.Muestra'!$D$8:$D$42))+1,""),ROW()-284)),"")</f>
        <v>18</v>
      </c>
      <c r="B302" s="85" t="str" cm="1">
        <f t="array" ref="B302">IFERROR(INDEX('03.Muestra'!$C$8:$C$42,SMALL(IF("Página Web"='03.Muestra'!$D$8:$D$42,ROW('03.Muestra'!$C$8:$C$42)-MIN(ROW('03.Muestra'!$D$8:$D$42))+1,""),ROW()-284)),"")</f>
        <v>Aviso Legal-Privacidad</v>
      </c>
      <c r="C302" s="85" t="str" cm="1">
        <f t="array" ref="C302">IFERROR(INDEX('03.Muestra'!$F$8:$F$42,SMALL(IF("Página Web"='03.Muestra'!$D$8:$D$42,ROW('03.Muestra'!$F$8:$F$42)-MIN(ROW('03.Muestra'!$D$8:$D$42))+1,""),ROW()-284)),"")</f>
        <v>https://elecciones.comunidad.madrid/es/aviso-legal</v>
      </c>
      <c r="D302" s="99" t="s">
        <v>176</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cm="1">
        <f t="array" ref="A303">IFERROR(INDEX('03.Muestra'!$B$8:$B$42,SMALL(IF("Página Web"='03.Muestra'!$D$8:$D$42,ROW('03.Muestra'!$B$8:$B$42)-MIN(ROW('03.Muestra'!$D$8:$D$42))+1,""),ROW()-284)),"")</f>
        <v>19</v>
      </c>
      <c r="B303" s="85" t="str" cm="1">
        <f t="array" ref="B303">IFERROR(INDEX('03.Muestra'!$C$8:$C$42,SMALL(IF("Página Web"='03.Muestra'!$D$8:$D$42,ROW('03.Muestra'!$C$8:$C$42)-MIN(ROW('03.Muestra'!$D$8:$D$42))+1,""),ROW()-284)),"")</f>
        <v>Mapa Web</v>
      </c>
      <c r="C303" s="85" t="str" cm="1">
        <f t="array" ref="C303">IFERROR(INDEX('03.Muestra'!$F$8:$F$42,SMALL(IF("Página Web"='03.Muestra'!$D$8:$D$42,ROW('03.Muestra'!$F$8:$F$42)-MIN(ROW('03.Muestra'!$D$8:$D$42))+1,""),ROW()-284)),"")</f>
        <v>https://elecciones.comunidad.madrid/es/sitemap</v>
      </c>
      <c r="D303" s="99" t="s">
        <v>176</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cm="1">
        <f t="array" ref="A304">IFERROR(INDEX('03.Muestra'!$B$8:$B$42,SMALL(IF("Página Web"='03.Muestra'!$D$8:$D$42,ROW('03.Muestra'!$B$8:$B$42)-MIN(ROW('03.Muestra'!$D$8:$D$42))+1,""),ROW()-284)),"")</f>
        <v>20</v>
      </c>
      <c r="B304" s="85" t="str" cm="1">
        <f t="array" ref="B304">IFERROR(INDEX('03.Muestra'!$C$8:$C$42,SMALL(IF("Página Web"='03.Muestra'!$D$8:$D$42,ROW('03.Muestra'!$C$8:$C$42)-MIN(ROW('03.Muestra'!$D$8:$D$42))+1,""),ROW()-284)),"")</f>
        <v>Declaracion Accesibilidad</v>
      </c>
      <c r="C304" s="85" t="str" cm="1">
        <f t="array" ref="C304">IFERROR(INDEX('03.Muestra'!$F$8:$F$42,SMALL(IF("Página Web"='03.Muestra'!$D$8:$D$42,ROW('03.Muestra'!$F$8:$F$42)-MIN(ROW('03.Muestra'!$D$8:$D$42))+1,""),ROW()-284)),"")</f>
        <v>https://elecciones.comunidad.madrid/es/accesibilidad</v>
      </c>
      <c r="D304" s="99" t="s">
        <v>176</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ref="D305:D319" si="15">IF(AND(B305&lt;&gt;"",C305&lt;&gt;""),"N/T","")</f>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181</v>
      </c>
      <c r="B322" s="23" t="s">
        <v>173</v>
      </c>
      <c r="C322" s="24" t="s">
        <v>232</v>
      </c>
      <c r="D322" s="25" t="s">
        <v>183</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https://elecciones.comunidad.madrid/es</v>
      </c>
      <c r="D323" s="99" t="s">
        <v>176</v>
      </c>
      <c r="E323" s="79" t="str">
        <f t="shared" ref="E323:E357" si="16">IF(D323&lt;&gt;"",IF(AND(B323&lt;&gt;"",C323&lt;&gt;""),"","ERR"),"")</f>
        <v/>
      </c>
      <c r="F323" s="86" t="s">
        <v>185</v>
      </c>
      <c r="G323" s="87" t="s">
        <v>186</v>
      </c>
      <c r="H323" s="88" t="s">
        <v>184</v>
      </c>
      <c r="I323" s="89" t="s">
        <v>176</v>
      </c>
      <c r="J323" s="90" t="s">
        <v>174</v>
      </c>
      <c r="K323" s="179" t="s">
        <v>180</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Resultado Elecciones 28M 2023</v>
      </c>
      <c r="C324" s="85" t="str" cm="1">
        <f t="array" ref="C324">IFERROR(INDEX('03.Muestra'!$F$8:$F$42,SMALL(IF("Página Web"='03.Muestra'!$D$8:$D$42,ROW('03.Muestra'!$F$8:$F$42)-MIN(ROW('03.Muestra'!$D$8:$D$42))+1,""),ROW()-322)),"")</f>
        <v>https://elecciones.comunidad.madrid/es/resultados-elecciones-asamblea-madrid-28m-2023</v>
      </c>
      <c r="D324" s="99" t="s">
        <v>176</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20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Normativa electoral</v>
      </c>
      <c r="C325" s="85" t="str" cm="1">
        <f t="array" ref="C325">IFERROR(INDEX('03.Muestra'!$F$8:$F$42,SMALL(IF("Página Web"='03.Muestra'!$D$8:$D$42,ROW('03.Muestra'!$F$8:$F$42)-MIN(ROW('03.Muestra'!$D$8:$D$42))+1,""),ROW()-322)),"")</f>
        <v>https://elecciones.comunidad.madrid/es/informacion-electoral/normativa-electoral</v>
      </c>
      <c r="D325" s="99" t="s">
        <v>176</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Calendario electoral</v>
      </c>
      <c r="C326" s="85" t="str" cm="1">
        <f t="array" ref="C326">IFERROR(INDEX('03.Muestra'!$F$8:$F$42,SMALL(IF("Página Web"='03.Muestra'!$D$8:$D$42,ROW('03.Muestra'!$F$8:$F$42)-MIN(ROW('03.Muestra'!$D$8:$D$42))+1,""),ROW()-322)),"")</f>
        <v>https://elecciones.comunidad.madrid/es/informacion-electoral/calendario-electoral</v>
      </c>
      <c r="D326" s="99" t="s">
        <v>176</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Direcciones y teléfonos</v>
      </c>
      <c r="C327" s="85" t="str" cm="1">
        <f t="array" ref="C327">IFERROR(INDEX('03.Muestra'!$F$8:$F$42,SMALL(IF("Página Web"='03.Muestra'!$D$8:$D$42,ROW('03.Muestra'!$F$8:$F$42)-MIN(ROW('03.Muestra'!$D$8:$D$42))+1,""),ROW()-322)),"")</f>
        <v>https://elecciones.comunidad.madrid/es/juntas-electorales/direcciones-telefonos</v>
      </c>
      <c r="D327" s="99" t="s">
        <v>176</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Impresos electrónicos</v>
      </c>
      <c r="C328" s="85" t="str" cm="1">
        <f t="array" ref="C328">IFERROR(INDEX('03.Muestra'!$F$8:$F$42,SMALL(IF("Página Web"='03.Muestra'!$D$8:$D$42,ROW('03.Muestra'!$F$8:$F$42)-MIN(ROW('03.Muestra'!$D$8:$D$42))+1,""),ROW()-322)),"")</f>
        <v>https://elecciones.comunidad.madrid/es/formaciones-politicas/impresos-electronicos</v>
      </c>
      <c r="D328" s="99" t="s">
        <v>176</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Listado de candidaturas</v>
      </c>
      <c r="C329" s="85" t="str" cm="1">
        <f t="array" ref="C329">IFERROR(INDEX('03.Muestra'!$F$8:$F$42,SMALL(IF("Página Web"='03.Muestra'!$D$8:$D$42,ROW('03.Muestra'!$F$8:$F$42)-MIN(ROW('03.Muestra'!$D$8:$D$42))+1,""),ROW()-322)),"")</f>
        <v>https://elecciones.comunidad.madrid/es/formaciones-politicas/listado-candidaturas-proclamadas</v>
      </c>
      <c r="D329" s="99" t="s">
        <v>176</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Partido Feminista de España</v>
      </c>
      <c r="C330" s="85" t="str" cm="1">
        <f t="array" ref="C330">IFERROR(INDEX('03.Muestra'!$F$8:$F$42,SMALL(IF("Página Web"='03.Muestra'!$D$8:$D$42,ROW('03.Muestra'!$F$8:$F$42)-MIN(ROW('03.Muestra'!$D$8:$D$42))+1,""),ROW()-322)),"")</f>
        <v>https://elecciones.comunidad.madrid/es/formaciones-politicas/listado-candidaturas/partido-feminista-espana</v>
      </c>
      <c r="D330" s="99" t="s">
        <v>176</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¿Dónde voto?</v>
      </c>
      <c r="C331" s="85" t="str" cm="1">
        <f t="array" ref="C331">IFERROR(INDEX('03.Muestra'!$F$8:$F$42,SMALL(IF("Página Web"='03.Muestra'!$D$8:$D$42,ROW('03.Muestra'!$F$8:$F$42)-MIN(ROW('03.Muestra'!$D$8:$D$42))+1,""),ROW()-322)),"")</f>
        <v>https://elecciones.comunidad.madrid/es/votar/donde-voto</v>
      </c>
      <c r="D331" s="99" t="s">
        <v>176</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Voto presencial</v>
      </c>
      <c r="C332" s="85" t="str" cm="1">
        <f t="array" ref="C332">IFERROR(INDEX('03.Muestra'!$F$8:$F$42,SMALL(IF("Página Web"='03.Muestra'!$D$8:$D$42,ROW('03.Muestra'!$F$8:$F$42)-MIN(ROW('03.Muestra'!$D$8:$D$42))+1,""),ROW()-322)),"")</f>
        <v>https://elecciones.comunidad.madrid/es/voto-local-electoral/voto-presencial</v>
      </c>
      <c r="D332" s="99" t="s">
        <v>176</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Ciudadanos temporalmente en el extranjero</v>
      </c>
      <c r="C333" s="85" t="str" cm="1">
        <f t="array" ref="C333">IFERROR(INDEX('03.Muestra'!$F$8:$F$42,SMALL(IF("Página Web"='03.Muestra'!$D$8:$D$42,ROW('03.Muestra'!$F$8:$F$42)-MIN(ROW('03.Muestra'!$D$8:$D$42))+1,""),ROW()-322)),"")</f>
        <v>https://elecciones.comunidad.madrid/es/voto-correo/solicitud-voto-temporalmente-ausentes</v>
      </c>
      <c r="D333" s="99" t="s">
        <v>176</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Nuevo votante</v>
      </c>
      <c r="C334" s="85" t="str" cm="1">
        <f t="array" ref="C334">IFERROR(INDEX('03.Muestra'!$F$8:$F$42,SMALL(IF("Página Web"='03.Muestra'!$D$8:$D$42,ROW('03.Muestra'!$F$8:$F$42)-MIN(ROW('03.Muestra'!$D$8:$D$42))+1,""),ROW()-322)),"")</f>
        <v>https://elecciones.comunidad.madrid/es/votar/nuevo-votante</v>
      </c>
      <c r="D334" s="99" t="s">
        <v>176</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Simulación método D'Hondt</v>
      </c>
      <c r="C335" s="85" t="str" cm="1">
        <f t="array" ref="C335">IFERROR(INDEX('03.Muestra'!$F$8:$F$42,SMALL(IF("Página Web"='03.Muestra'!$D$8:$D$42,ROW('03.Muestra'!$F$8:$F$42)-MIN(ROW('03.Muestra'!$D$8:$D$42))+1,""),ROW()-322)),"")</f>
        <v>https://elecciones.comunidad.madrid/es/informacion-util/simulacion-metodo-dhondt</v>
      </c>
      <c r="D335" s="99" t="s">
        <v>176</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Ley D'Hondt</v>
      </c>
      <c r="C336" s="85" t="str" cm="1">
        <f t="array" ref="C336">IFERROR(INDEX('03.Muestra'!$F$8:$F$42,SMALL(IF("Página Web"='03.Muestra'!$D$8:$D$42,ROW('03.Muestra'!$F$8:$F$42)-MIN(ROW('03.Muestra'!$D$8:$D$42))+1,""),ROW()-322)),"")</f>
        <v>https://elecciones.comunidad.madrid/es/resultados/ley_d_hondt</v>
      </c>
      <c r="D336" s="99" t="s">
        <v>176</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Voto por correo elector CERA en España</v>
      </c>
      <c r="C337" s="85" t="str" cm="1">
        <f t="array" ref="C337">IFERROR(INDEX('03.Muestra'!$F$8:$F$42,SMALL(IF("Página Web"='03.Muestra'!$D$8:$D$42,ROW('03.Muestra'!$F$8:$F$42)-MIN(ROW('03.Muestra'!$D$8:$D$42))+1,""),ROW()-322)),"")</f>
        <v>https://elecciones.comunidad.madrid/es/preguntas-frecuentes/voto-correo-electores-residentes-extranjero</v>
      </c>
      <c r="D337" s="99" t="s">
        <v>176</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Contacto</v>
      </c>
      <c r="C338" s="85" t="str" cm="1">
        <f t="array" ref="C338">IFERROR(INDEX('03.Muestra'!$F$8:$F$42,SMALL(IF("Página Web"='03.Muestra'!$D$8:$D$42,ROW('03.Muestra'!$F$8:$F$42)-MIN(ROW('03.Muestra'!$D$8:$D$42))+1,""),ROW()-322)),"")</f>
        <v>https://elecciones.comunidad.madrid/es/buzon-de-sugerencias</v>
      </c>
      <c r="D338" s="99" t="s">
        <v>176</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Buscador</v>
      </c>
      <c r="C339" s="85" t="str" cm="1">
        <f t="array" ref="C339">IFERROR(INDEX('03.Muestra'!$F$8:$F$42,SMALL(IF("Página Web"='03.Muestra'!$D$8:$D$42,ROW('03.Muestra'!$F$8:$F$42)-MIN(ROW('03.Muestra'!$D$8:$D$42))+1,""),ROW()-322)),"")</f>
        <v>https://elecciones.comunidad.madrid/es/search?search_api_fulltext=partido</v>
      </c>
      <c r="D339" s="99" t="s">
        <v>176</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cm="1">
        <f t="array" ref="A340">IFERROR(INDEX('03.Muestra'!$B$8:$B$42,SMALL(IF("Página Web"='03.Muestra'!$D$8:$D$42,ROW('03.Muestra'!$B$8:$B$42)-MIN(ROW('03.Muestra'!$D$8:$D$42))+1,""),ROW()-322)),"")</f>
        <v>18</v>
      </c>
      <c r="B340" s="85" t="str" cm="1">
        <f t="array" ref="B340">IFERROR(INDEX('03.Muestra'!$C$8:$C$42,SMALL(IF("Página Web"='03.Muestra'!$D$8:$D$42,ROW('03.Muestra'!$C$8:$C$42)-MIN(ROW('03.Muestra'!$D$8:$D$42))+1,""),ROW()-322)),"")</f>
        <v>Aviso Legal-Privacidad</v>
      </c>
      <c r="C340" s="85" t="str" cm="1">
        <f t="array" ref="C340">IFERROR(INDEX('03.Muestra'!$F$8:$F$42,SMALL(IF("Página Web"='03.Muestra'!$D$8:$D$42,ROW('03.Muestra'!$F$8:$F$42)-MIN(ROW('03.Muestra'!$D$8:$D$42))+1,""),ROW()-322)),"")</f>
        <v>https://elecciones.comunidad.madrid/es/aviso-legal</v>
      </c>
      <c r="D340" s="99" t="s">
        <v>176</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cm="1">
        <f t="array" ref="A341">IFERROR(INDEX('03.Muestra'!$B$8:$B$42,SMALL(IF("Página Web"='03.Muestra'!$D$8:$D$42,ROW('03.Muestra'!$B$8:$B$42)-MIN(ROW('03.Muestra'!$D$8:$D$42))+1,""),ROW()-322)),"")</f>
        <v>19</v>
      </c>
      <c r="B341" s="85" t="str" cm="1">
        <f t="array" ref="B341">IFERROR(INDEX('03.Muestra'!$C$8:$C$42,SMALL(IF("Página Web"='03.Muestra'!$D$8:$D$42,ROW('03.Muestra'!$C$8:$C$42)-MIN(ROW('03.Muestra'!$D$8:$D$42))+1,""),ROW()-322)),"")</f>
        <v>Mapa Web</v>
      </c>
      <c r="C341" s="85" t="str" cm="1">
        <f t="array" ref="C341">IFERROR(INDEX('03.Muestra'!$F$8:$F$42,SMALL(IF("Página Web"='03.Muestra'!$D$8:$D$42,ROW('03.Muestra'!$F$8:$F$42)-MIN(ROW('03.Muestra'!$D$8:$D$42))+1,""),ROW()-322)),"")</f>
        <v>https://elecciones.comunidad.madrid/es/sitemap</v>
      </c>
      <c r="D341" s="99" t="s">
        <v>176</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cm="1">
        <f t="array" ref="A342">IFERROR(INDEX('03.Muestra'!$B$8:$B$42,SMALL(IF("Página Web"='03.Muestra'!$D$8:$D$42,ROW('03.Muestra'!$B$8:$B$42)-MIN(ROW('03.Muestra'!$D$8:$D$42))+1,""),ROW()-322)),"")</f>
        <v>20</v>
      </c>
      <c r="B342" s="85" t="str" cm="1">
        <f t="array" ref="B342">IFERROR(INDEX('03.Muestra'!$C$8:$C$42,SMALL(IF("Página Web"='03.Muestra'!$D$8:$D$42,ROW('03.Muestra'!$C$8:$C$42)-MIN(ROW('03.Muestra'!$D$8:$D$42))+1,""),ROW()-322)),"")</f>
        <v>Declaracion Accesibilidad</v>
      </c>
      <c r="C342" s="85" t="str" cm="1">
        <f t="array" ref="C342">IFERROR(INDEX('03.Muestra'!$F$8:$F$42,SMALL(IF("Página Web"='03.Muestra'!$D$8:$D$42,ROW('03.Muestra'!$F$8:$F$42)-MIN(ROW('03.Muestra'!$D$8:$D$42))+1,""),ROW()-322)),"")</f>
        <v>https://elecciones.comunidad.madrid/es/accesibilidad</v>
      </c>
      <c r="D342" s="99" t="s">
        <v>176</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ref="D343:D357" si="17">IF(AND(B343&lt;&gt;"",C343&lt;&gt;""),"N/T","")</f>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181</v>
      </c>
      <c r="B360" s="23" t="s">
        <v>173</v>
      </c>
      <c r="C360" s="24" t="s">
        <v>233</v>
      </c>
      <c r="D360" s="25" t="s">
        <v>183</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https://elecciones.comunidad.madrid/es</v>
      </c>
      <c r="D361" s="99" t="s">
        <v>184</v>
      </c>
      <c r="E361" s="79" t="str">
        <f t="shared" ref="E361:E395" si="18">IF(D361&lt;&gt;"",IF(AND(B361&lt;&gt;"",C361&lt;&gt;""),"","ERR"),"")</f>
        <v/>
      </c>
      <c r="F361" s="86" t="s">
        <v>185</v>
      </c>
      <c r="G361" s="87" t="s">
        <v>186</v>
      </c>
      <c r="H361" s="88" t="s">
        <v>184</v>
      </c>
      <c r="I361" s="89" t="s">
        <v>176</v>
      </c>
      <c r="J361" s="90" t="s">
        <v>174</v>
      </c>
      <c r="K361" s="179" t="s">
        <v>180</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Resultado Elecciones 28M 2023</v>
      </c>
      <c r="C362" s="85" t="str" cm="1">
        <f t="array" ref="C362">IFERROR(INDEX('03.Muestra'!$F$8:$F$42,SMALL(IF("Página Web"='03.Muestra'!$D$8:$D$42,ROW('03.Muestra'!$F$8:$F$42)-MIN(ROW('03.Muestra'!$D$8:$D$42))+1,""),ROW()-360)),"")</f>
        <v>https://elecciones.comunidad.madrid/es/resultados-elecciones-asamblea-madrid-28m-2023</v>
      </c>
      <c r="D362" s="99" t="s">
        <v>184</v>
      </c>
      <c r="E362" s="79" t="str">
        <f t="shared" si="18"/>
        <v/>
      </c>
      <c r="F362" s="91">
        <f ca="1">COUNTIF($D361:INDIRECT("$D" &amp;  SUM(ROW()-1,'03.Muestra'!$D$45)-1),F361)</f>
        <v>0</v>
      </c>
      <c r="G362" s="91">
        <f ca="1">COUNTIF($D361:INDIRECT("$D" &amp;  SUM(ROW()-1,'03.Muestra'!$D$45)-1),G361)</f>
        <v>0</v>
      </c>
      <c r="H362" s="91">
        <f ca="1">COUNTIF($D361:INDIRECT("$D" &amp;  SUM(ROW()-1,'03.Muestra'!$D$45)-1),H361)</f>
        <v>19</v>
      </c>
      <c r="I362" s="91">
        <f ca="1">COUNTIF($D361:INDIRECT("$D" &amp;  SUM(ROW()-1,'03.Muestra'!$D$45)-1),I361)</f>
        <v>1</v>
      </c>
      <c r="J362" s="91">
        <f ca="1">COUNTIF($D361:INDIRECT("$D" &amp;  SUM(ROW()-1,'03.Muestra'!$D$45)-1),J361)</f>
        <v>0</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Normativa electoral</v>
      </c>
      <c r="C363" s="85" t="str" cm="1">
        <f t="array" ref="C363">IFERROR(INDEX('03.Muestra'!$F$8:$F$42,SMALL(IF("Página Web"='03.Muestra'!$D$8:$D$42,ROW('03.Muestra'!$F$8:$F$42)-MIN(ROW('03.Muestra'!$D$8:$D$42))+1,""),ROW()-360)),"")</f>
        <v>https://elecciones.comunidad.madrid/es/informacion-electoral/normativa-electoral</v>
      </c>
      <c r="D363" s="99" t="s">
        <v>184</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Calendario electoral</v>
      </c>
      <c r="C364" s="85" t="str" cm="1">
        <f t="array" ref="C364">IFERROR(INDEX('03.Muestra'!$F$8:$F$42,SMALL(IF("Página Web"='03.Muestra'!$D$8:$D$42,ROW('03.Muestra'!$F$8:$F$42)-MIN(ROW('03.Muestra'!$D$8:$D$42))+1,""),ROW()-360)),"")</f>
        <v>https://elecciones.comunidad.madrid/es/informacion-electoral/calendario-electoral</v>
      </c>
      <c r="D364" s="99" t="s">
        <v>184</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Direcciones y teléfonos</v>
      </c>
      <c r="C365" s="85" t="str" cm="1">
        <f t="array" ref="C365">IFERROR(INDEX('03.Muestra'!$F$8:$F$42,SMALL(IF("Página Web"='03.Muestra'!$D$8:$D$42,ROW('03.Muestra'!$F$8:$F$42)-MIN(ROW('03.Muestra'!$D$8:$D$42))+1,""),ROW()-360)),"")</f>
        <v>https://elecciones.comunidad.madrid/es/juntas-electorales/direcciones-telefonos</v>
      </c>
      <c r="D365" s="99" t="s">
        <v>184</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Impresos electrónicos</v>
      </c>
      <c r="C366" s="85" t="str" cm="1">
        <f t="array" ref="C366">IFERROR(INDEX('03.Muestra'!$F$8:$F$42,SMALL(IF("Página Web"='03.Muestra'!$D$8:$D$42,ROW('03.Muestra'!$F$8:$F$42)-MIN(ROW('03.Muestra'!$D$8:$D$42))+1,""),ROW()-360)),"")</f>
        <v>https://elecciones.comunidad.madrid/es/formaciones-politicas/impresos-electronicos</v>
      </c>
      <c r="D366" s="99" t="s">
        <v>184</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Listado de candidaturas</v>
      </c>
      <c r="C367" s="85" t="str" cm="1">
        <f t="array" ref="C367">IFERROR(INDEX('03.Muestra'!$F$8:$F$42,SMALL(IF("Página Web"='03.Muestra'!$D$8:$D$42,ROW('03.Muestra'!$F$8:$F$42)-MIN(ROW('03.Muestra'!$D$8:$D$42))+1,""),ROW()-360)),"")</f>
        <v>https://elecciones.comunidad.madrid/es/formaciones-politicas/listado-candidaturas-proclamadas</v>
      </c>
      <c r="D367" s="99" t="s">
        <v>184</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Partido Feminista de España</v>
      </c>
      <c r="C368" s="85" t="str" cm="1">
        <f t="array" ref="C368">IFERROR(INDEX('03.Muestra'!$F$8:$F$42,SMALL(IF("Página Web"='03.Muestra'!$D$8:$D$42,ROW('03.Muestra'!$F$8:$F$42)-MIN(ROW('03.Muestra'!$D$8:$D$42))+1,""),ROW()-360)),"")</f>
        <v>https://elecciones.comunidad.madrid/es/formaciones-politicas/listado-candidaturas/partido-feminista-espana</v>
      </c>
      <c r="D368" s="99" t="s">
        <v>184</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¿Dónde voto?</v>
      </c>
      <c r="C369" s="85" t="str" cm="1">
        <f t="array" ref="C369">IFERROR(INDEX('03.Muestra'!$F$8:$F$42,SMALL(IF("Página Web"='03.Muestra'!$D$8:$D$42,ROW('03.Muestra'!$F$8:$F$42)-MIN(ROW('03.Muestra'!$D$8:$D$42))+1,""),ROW()-360)),"")</f>
        <v>https://elecciones.comunidad.madrid/es/votar/donde-voto</v>
      </c>
      <c r="D369" s="99" t="s">
        <v>184</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Voto presencial</v>
      </c>
      <c r="C370" s="85" t="str" cm="1">
        <f t="array" ref="C370">IFERROR(INDEX('03.Muestra'!$F$8:$F$42,SMALL(IF("Página Web"='03.Muestra'!$D$8:$D$42,ROW('03.Muestra'!$F$8:$F$42)-MIN(ROW('03.Muestra'!$D$8:$D$42))+1,""),ROW()-360)),"")</f>
        <v>https://elecciones.comunidad.madrid/es/voto-local-electoral/voto-presencial</v>
      </c>
      <c r="D370" s="99" t="s">
        <v>184</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Ciudadanos temporalmente en el extranjero</v>
      </c>
      <c r="C371" s="85" t="str" cm="1">
        <f t="array" ref="C371">IFERROR(INDEX('03.Muestra'!$F$8:$F$42,SMALL(IF("Página Web"='03.Muestra'!$D$8:$D$42,ROW('03.Muestra'!$F$8:$F$42)-MIN(ROW('03.Muestra'!$D$8:$D$42))+1,""),ROW()-360)),"")</f>
        <v>https://elecciones.comunidad.madrid/es/voto-correo/solicitud-voto-temporalmente-ausentes</v>
      </c>
      <c r="D371" s="99" t="s">
        <v>184</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Nuevo votante</v>
      </c>
      <c r="C372" s="85" t="str" cm="1">
        <f t="array" ref="C372">IFERROR(INDEX('03.Muestra'!$F$8:$F$42,SMALL(IF("Página Web"='03.Muestra'!$D$8:$D$42,ROW('03.Muestra'!$F$8:$F$42)-MIN(ROW('03.Muestra'!$D$8:$D$42))+1,""),ROW()-360)),"")</f>
        <v>https://elecciones.comunidad.madrid/es/votar/nuevo-votante</v>
      </c>
      <c r="D372" s="99" t="s">
        <v>184</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Simulación método D'Hondt</v>
      </c>
      <c r="C373" s="85" t="str" cm="1">
        <f t="array" ref="C373">IFERROR(INDEX('03.Muestra'!$F$8:$F$42,SMALL(IF("Página Web"='03.Muestra'!$D$8:$D$42,ROW('03.Muestra'!$F$8:$F$42)-MIN(ROW('03.Muestra'!$D$8:$D$42))+1,""),ROW()-360)),"")</f>
        <v>https://elecciones.comunidad.madrid/es/informacion-util/simulacion-metodo-dhondt</v>
      </c>
      <c r="D373" s="99" t="s">
        <v>184</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Ley D'Hondt</v>
      </c>
      <c r="C374" s="85" t="str" cm="1">
        <f t="array" ref="C374">IFERROR(INDEX('03.Muestra'!$F$8:$F$42,SMALL(IF("Página Web"='03.Muestra'!$D$8:$D$42,ROW('03.Muestra'!$F$8:$F$42)-MIN(ROW('03.Muestra'!$D$8:$D$42))+1,""),ROW()-360)),"")</f>
        <v>https://elecciones.comunidad.madrid/es/resultados/ley_d_hondt</v>
      </c>
      <c r="D374" s="99" t="s">
        <v>184</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cm="1">
        <f t="array" ref="A375">IFERROR(INDEX('03.Muestra'!$B$8:$B$42,SMALL(IF("Página Web"='03.Muestra'!$D$8:$D$42,ROW('03.Muestra'!$B$8:$B$42)-MIN(ROW('03.Muestra'!$D$8:$D$42))+1,""),ROW()-360)),"")</f>
        <v>15</v>
      </c>
      <c r="B375" s="85" t="str" cm="1">
        <f t="array" ref="B375">IFERROR(INDEX('03.Muestra'!$C$8:$C$42,SMALL(IF("Página Web"='03.Muestra'!$D$8:$D$42,ROW('03.Muestra'!$C$8:$C$42)-MIN(ROW('03.Muestra'!$D$8:$D$42))+1,""),ROW()-360)),"")</f>
        <v>Voto por correo elector CERA en España</v>
      </c>
      <c r="C375" s="85" t="str" cm="1">
        <f t="array" ref="C375">IFERROR(INDEX('03.Muestra'!$F$8:$F$42,SMALL(IF("Página Web"='03.Muestra'!$D$8:$D$42,ROW('03.Muestra'!$F$8:$F$42)-MIN(ROW('03.Muestra'!$D$8:$D$42))+1,""),ROW()-360)),"")</f>
        <v>https://elecciones.comunidad.madrid/es/preguntas-frecuentes/voto-correo-electores-residentes-extranjero</v>
      </c>
      <c r="D375" s="99" t="s">
        <v>184</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cm="1">
        <f t="array" ref="A376">IFERROR(INDEX('03.Muestra'!$B$8:$B$42,SMALL(IF("Página Web"='03.Muestra'!$D$8:$D$42,ROW('03.Muestra'!$B$8:$B$42)-MIN(ROW('03.Muestra'!$D$8:$D$42))+1,""),ROW()-360)),"")</f>
        <v>16</v>
      </c>
      <c r="B376" s="85" t="str" cm="1">
        <f t="array" ref="B376">IFERROR(INDEX('03.Muestra'!$C$8:$C$42,SMALL(IF("Página Web"='03.Muestra'!$D$8:$D$42,ROW('03.Muestra'!$C$8:$C$42)-MIN(ROW('03.Muestra'!$D$8:$D$42))+1,""),ROW()-360)),"")</f>
        <v>Contacto</v>
      </c>
      <c r="C376" s="85" t="str" cm="1">
        <f t="array" ref="C376">IFERROR(INDEX('03.Muestra'!$F$8:$F$42,SMALL(IF("Página Web"='03.Muestra'!$D$8:$D$42,ROW('03.Muestra'!$F$8:$F$42)-MIN(ROW('03.Muestra'!$D$8:$D$42))+1,""),ROW()-360)),"")</f>
        <v>https://elecciones.comunidad.madrid/es/buzon-de-sugerencias</v>
      </c>
      <c r="D376" s="99" t="s">
        <v>176</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cm="1">
        <f t="array" ref="A377">IFERROR(INDEX('03.Muestra'!$B$8:$B$42,SMALL(IF("Página Web"='03.Muestra'!$D$8:$D$42,ROW('03.Muestra'!$B$8:$B$42)-MIN(ROW('03.Muestra'!$D$8:$D$42))+1,""),ROW()-360)),"")</f>
        <v>17</v>
      </c>
      <c r="B377" s="85" t="str" cm="1">
        <f t="array" ref="B377">IFERROR(INDEX('03.Muestra'!$C$8:$C$42,SMALL(IF("Página Web"='03.Muestra'!$D$8:$D$42,ROW('03.Muestra'!$C$8:$C$42)-MIN(ROW('03.Muestra'!$D$8:$D$42))+1,""),ROW()-360)),"")</f>
        <v>Buscador</v>
      </c>
      <c r="C377" s="85" t="str" cm="1">
        <f t="array" ref="C377">IFERROR(INDEX('03.Muestra'!$F$8:$F$42,SMALL(IF("Página Web"='03.Muestra'!$D$8:$D$42,ROW('03.Muestra'!$F$8:$F$42)-MIN(ROW('03.Muestra'!$D$8:$D$42))+1,""),ROW()-360)),"")</f>
        <v>https://elecciones.comunidad.madrid/es/search?search_api_fulltext=partido</v>
      </c>
      <c r="D377" s="99" t="s">
        <v>184</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cm="1">
        <f t="array" ref="A378">IFERROR(INDEX('03.Muestra'!$B$8:$B$42,SMALL(IF("Página Web"='03.Muestra'!$D$8:$D$42,ROW('03.Muestra'!$B$8:$B$42)-MIN(ROW('03.Muestra'!$D$8:$D$42))+1,""),ROW()-360)),"")</f>
        <v>18</v>
      </c>
      <c r="B378" s="85" t="str" cm="1">
        <f t="array" ref="B378">IFERROR(INDEX('03.Muestra'!$C$8:$C$42,SMALL(IF("Página Web"='03.Muestra'!$D$8:$D$42,ROW('03.Muestra'!$C$8:$C$42)-MIN(ROW('03.Muestra'!$D$8:$D$42))+1,""),ROW()-360)),"")</f>
        <v>Aviso Legal-Privacidad</v>
      </c>
      <c r="C378" s="85" t="str" cm="1">
        <f t="array" ref="C378">IFERROR(INDEX('03.Muestra'!$F$8:$F$42,SMALL(IF("Página Web"='03.Muestra'!$D$8:$D$42,ROW('03.Muestra'!$F$8:$F$42)-MIN(ROW('03.Muestra'!$D$8:$D$42))+1,""),ROW()-360)),"")</f>
        <v>https://elecciones.comunidad.madrid/es/aviso-legal</v>
      </c>
      <c r="D378" s="99" t="s">
        <v>184</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cm="1">
        <f t="array" ref="A379">IFERROR(INDEX('03.Muestra'!$B$8:$B$42,SMALL(IF("Página Web"='03.Muestra'!$D$8:$D$42,ROW('03.Muestra'!$B$8:$B$42)-MIN(ROW('03.Muestra'!$D$8:$D$42))+1,""),ROW()-360)),"")</f>
        <v>19</v>
      </c>
      <c r="B379" s="85" t="str" cm="1">
        <f t="array" ref="B379">IFERROR(INDEX('03.Muestra'!$C$8:$C$42,SMALL(IF("Página Web"='03.Muestra'!$D$8:$D$42,ROW('03.Muestra'!$C$8:$C$42)-MIN(ROW('03.Muestra'!$D$8:$D$42))+1,""),ROW()-360)),"")</f>
        <v>Mapa Web</v>
      </c>
      <c r="C379" s="85" t="str" cm="1">
        <f t="array" ref="C379">IFERROR(INDEX('03.Muestra'!$F$8:$F$42,SMALL(IF("Página Web"='03.Muestra'!$D$8:$D$42,ROW('03.Muestra'!$F$8:$F$42)-MIN(ROW('03.Muestra'!$D$8:$D$42))+1,""),ROW()-360)),"")</f>
        <v>https://elecciones.comunidad.madrid/es/sitemap</v>
      </c>
      <c r="D379" s="99" t="s">
        <v>184</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cm="1">
        <f t="array" ref="A380">IFERROR(INDEX('03.Muestra'!$B$8:$B$42,SMALL(IF("Página Web"='03.Muestra'!$D$8:$D$42,ROW('03.Muestra'!$B$8:$B$42)-MIN(ROW('03.Muestra'!$D$8:$D$42))+1,""),ROW()-360)),"")</f>
        <v>20</v>
      </c>
      <c r="B380" s="85" t="str" cm="1">
        <f t="array" ref="B380">IFERROR(INDEX('03.Muestra'!$C$8:$C$42,SMALL(IF("Página Web"='03.Muestra'!$D$8:$D$42,ROW('03.Muestra'!$C$8:$C$42)-MIN(ROW('03.Muestra'!$D$8:$D$42))+1,""),ROW()-360)),"")</f>
        <v>Declaracion Accesibilidad</v>
      </c>
      <c r="C380" s="85" t="str" cm="1">
        <f t="array" ref="C380">IFERROR(INDEX('03.Muestra'!$F$8:$F$42,SMALL(IF("Página Web"='03.Muestra'!$D$8:$D$42,ROW('03.Muestra'!$F$8:$F$42)-MIN(ROW('03.Muestra'!$D$8:$D$42))+1,""),ROW()-360)),"")</f>
        <v>https://elecciones.comunidad.madrid/es/accesibilidad</v>
      </c>
      <c r="D380" s="99" t="s">
        <v>184</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ref="D381:D395" si="19">IF(AND(B381&lt;&gt;"",C381&lt;&gt;""),"N/T","")</f>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181</v>
      </c>
      <c r="B398" s="23" t="s">
        <v>173</v>
      </c>
      <c r="C398" s="24" t="s">
        <v>234</v>
      </c>
      <c r="D398" s="25" t="s">
        <v>183</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https://elecciones.comunidad.madrid/es</v>
      </c>
      <c r="D399" s="99" t="s">
        <v>174</v>
      </c>
      <c r="E399" s="79" t="str">
        <f t="shared" ref="E399:E433" si="20">IF(D399&lt;&gt;"",IF(AND(B399&lt;&gt;"",C399&lt;&gt;""),"","ERR"),"")</f>
        <v/>
      </c>
      <c r="F399" s="86" t="s">
        <v>185</v>
      </c>
      <c r="G399" s="87" t="s">
        <v>186</v>
      </c>
      <c r="H399" s="88" t="s">
        <v>184</v>
      </c>
      <c r="I399" s="89" t="s">
        <v>176</v>
      </c>
      <c r="J399" s="90" t="s">
        <v>174</v>
      </c>
      <c r="K399" s="179" t="s">
        <v>180</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Resultado Elecciones 28M 2023</v>
      </c>
      <c r="C400" s="85" t="str" cm="1">
        <f t="array" ref="C400">IFERROR(INDEX('03.Muestra'!$F$8:$F$42,SMALL(IF("Página Web"='03.Muestra'!$D$8:$D$42,ROW('03.Muestra'!$F$8:$F$42)-MIN(ROW('03.Muestra'!$D$8:$D$42))+1,""),ROW()-398)),"")</f>
        <v>https://elecciones.comunidad.madrid/es/resultados-elecciones-asamblea-madrid-28m-2023</v>
      </c>
      <c r="D400" s="99" t="s">
        <v>174</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2</v>
      </c>
      <c r="J400" s="91">
        <f ca="1">COUNTIF($D399:INDIRECT("$D" &amp;  SUM(ROW()-1,'03.Muestra'!$D$45)-1),J399)</f>
        <v>18</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Normativa electoral</v>
      </c>
      <c r="C401" s="85" t="str" cm="1">
        <f t="array" ref="C401">IFERROR(INDEX('03.Muestra'!$F$8:$F$42,SMALL(IF("Página Web"='03.Muestra'!$D$8:$D$42,ROW('03.Muestra'!$F$8:$F$42)-MIN(ROW('03.Muestra'!$D$8:$D$42))+1,""),ROW()-398)),"")</f>
        <v>https://elecciones.comunidad.madrid/es/informacion-electoral/normativa-electoral</v>
      </c>
      <c r="D401" s="99" t="s">
        <v>174</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Calendario electoral</v>
      </c>
      <c r="C402" s="85" t="str" cm="1">
        <f t="array" ref="C402">IFERROR(INDEX('03.Muestra'!$F$8:$F$42,SMALL(IF("Página Web"='03.Muestra'!$D$8:$D$42,ROW('03.Muestra'!$F$8:$F$42)-MIN(ROW('03.Muestra'!$D$8:$D$42))+1,""),ROW()-398)),"")</f>
        <v>https://elecciones.comunidad.madrid/es/informacion-electoral/calendario-electoral</v>
      </c>
      <c r="D402" s="99" t="s">
        <v>174</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Direcciones y teléfonos</v>
      </c>
      <c r="C403" s="85" t="str" cm="1">
        <f t="array" ref="C403">IFERROR(INDEX('03.Muestra'!$F$8:$F$42,SMALL(IF("Página Web"='03.Muestra'!$D$8:$D$42,ROW('03.Muestra'!$F$8:$F$42)-MIN(ROW('03.Muestra'!$D$8:$D$42))+1,""),ROW()-398)),"")</f>
        <v>https://elecciones.comunidad.madrid/es/juntas-electorales/direcciones-telefonos</v>
      </c>
      <c r="D403" s="99" t="s">
        <v>174</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Impresos electrónicos</v>
      </c>
      <c r="C404" s="85" t="str" cm="1">
        <f t="array" ref="C404">IFERROR(INDEX('03.Muestra'!$F$8:$F$42,SMALL(IF("Página Web"='03.Muestra'!$D$8:$D$42,ROW('03.Muestra'!$F$8:$F$42)-MIN(ROW('03.Muestra'!$D$8:$D$42))+1,""),ROW()-398)),"")</f>
        <v>https://elecciones.comunidad.madrid/es/formaciones-politicas/impresos-electronicos</v>
      </c>
      <c r="D404" s="99" t="s">
        <v>174</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Listado de candidaturas</v>
      </c>
      <c r="C405" s="85" t="str" cm="1">
        <f t="array" ref="C405">IFERROR(INDEX('03.Muestra'!$F$8:$F$42,SMALL(IF("Página Web"='03.Muestra'!$D$8:$D$42,ROW('03.Muestra'!$F$8:$F$42)-MIN(ROW('03.Muestra'!$D$8:$D$42))+1,""),ROW()-398)),"")</f>
        <v>https://elecciones.comunidad.madrid/es/formaciones-politicas/listado-candidaturas-proclamadas</v>
      </c>
      <c r="D405" s="99" t="s">
        <v>176</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Partido Feminista de España</v>
      </c>
      <c r="C406" s="85" t="str" cm="1">
        <f t="array" ref="C406">IFERROR(INDEX('03.Muestra'!$F$8:$F$42,SMALL(IF("Página Web"='03.Muestra'!$D$8:$D$42,ROW('03.Muestra'!$F$8:$F$42)-MIN(ROW('03.Muestra'!$D$8:$D$42))+1,""),ROW()-398)),"")</f>
        <v>https://elecciones.comunidad.madrid/es/formaciones-politicas/listado-candidaturas/partido-feminista-espana</v>
      </c>
      <c r="D406" s="99" t="s">
        <v>174</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¿Dónde voto?</v>
      </c>
      <c r="C407" s="85" t="str" cm="1">
        <f t="array" ref="C407">IFERROR(INDEX('03.Muestra'!$F$8:$F$42,SMALL(IF("Página Web"='03.Muestra'!$D$8:$D$42,ROW('03.Muestra'!$F$8:$F$42)-MIN(ROW('03.Muestra'!$D$8:$D$42))+1,""),ROW()-398)),"")</f>
        <v>https://elecciones.comunidad.madrid/es/votar/donde-voto</v>
      </c>
      <c r="D407" s="99" t="s">
        <v>174</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Voto presencial</v>
      </c>
      <c r="C408" s="85" t="str" cm="1">
        <f t="array" ref="C408">IFERROR(INDEX('03.Muestra'!$F$8:$F$42,SMALL(IF("Página Web"='03.Muestra'!$D$8:$D$42,ROW('03.Muestra'!$F$8:$F$42)-MIN(ROW('03.Muestra'!$D$8:$D$42))+1,""),ROW()-398)),"")</f>
        <v>https://elecciones.comunidad.madrid/es/voto-local-electoral/voto-presencial</v>
      </c>
      <c r="D408" s="99" t="s">
        <v>174</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Ciudadanos temporalmente en el extranjero</v>
      </c>
      <c r="C409" s="85" t="str" cm="1">
        <f t="array" ref="C409">IFERROR(INDEX('03.Muestra'!$F$8:$F$42,SMALL(IF("Página Web"='03.Muestra'!$D$8:$D$42,ROW('03.Muestra'!$F$8:$F$42)-MIN(ROW('03.Muestra'!$D$8:$D$42))+1,""),ROW()-398)),"")</f>
        <v>https://elecciones.comunidad.madrid/es/voto-correo/solicitud-voto-temporalmente-ausentes</v>
      </c>
      <c r="D409" s="99" t="s">
        <v>174</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Nuevo votante</v>
      </c>
      <c r="C410" s="85" t="str" cm="1">
        <f t="array" ref="C410">IFERROR(INDEX('03.Muestra'!$F$8:$F$42,SMALL(IF("Página Web"='03.Muestra'!$D$8:$D$42,ROW('03.Muestra'!$F$8:$F$42)-MIN(ROW('03.Muestra'!$D$8:$D$42))+1,""),ROW()-398)),"")</f>
        <v>https://elecciones.comunidad.madrid/es/votar/nuevo-votante</v>
      </c>
      <c r="D410" s="99" t="s">
        <v>174</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Simulación método D'Hondt</v>
      </c>
      <c r="C411" s="85" t="str" cm="1">
        <f t="array" ref="C411">IFERROR(INDEX('03.Muestra'!$F$8:$F$42,SMALL(IF("Página Web"='03.Muestra'!$D$8:$D$42,ROW('03.Muestra'!$F$8:$F$42)-MIN(ROW('03.Muestra'!$D$8:$D$42))+1,""),ROW()-398)),"")</f>
        <v>https://elecciones.comunidad.madrid/es/informacion-util/simulacion-metodo-dhondt</v>
      </c>
      <c r="D411" s="99" t="s">
        <v>174</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Ley D'Hondt</v>
      </c>
      <c r="C412" s="85" t="str" cm="1">
        <f t="array" ref="C412">IFERROR(INDEX('03.Muestra'!$F$8:$F$42,SMALL(IF("Página Web"='03.Muestra'!$D$8:$D$42,ROW('03.Muestra'!$F$8:$F$42)-MIN(ROW('03.Muestra'!$D$8:$D$42))+1,""),ROW()-398)),"")</f>
        <v>https://elecciones.comunidad.madrid/es/resultados/ley_d_hondt</v>
      </c>
      <c r="D412" s="99" t="s">
        <v>174</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cm="1">
        <f t="array" ref="A413">IFERROR(INDEX('03.Muestra'!$B$8:$B$42,SMALL(IF("Página Web"='03.Muestra'!$D$8:$D$42,ROW('03.Muestra'!$B$8:$B$42)-MIN(ROW('03.Muestra'!$D$8:$D$42))+1,""),ROW()-398)),"")</f>
        <v>15</v>
      </c>
      <c r="B413" s="85" t="str" cm="1">
        <f t="array" ref="B413">IFERROR(INDEX('03.Muestra'!$C$8:$C$42,SMALL(IF("Página Web"='03.Muestra'!$D$8:$D$42,ROW('03.Muestra'!$C$8:$C$42)-MIN(ROW('03.Muestra'!$D$8:$D$42))+1,""),ROW()-398)),"")</f>
        <v>Voto por correo elector CERA en España</v>
      </c>
      <c r="C413" s="85" t="str" cm="1">
        <f t="array" ref="C413">IFERROR(INDEX('03.Muestra'!$F$8:$F$42,SMALL(IF("Página Web"='03.Muestra'!$D$8:$D$42,ROW('03.Muestra'!$F$8:$F$42)-MIN(ROW('03.Muestra'!$D$8:$D$42))+1,""),ROW()-398)),"")</f>
        <v>https://elecciones.comunidad.madrid/es/preguntas-frecuentes/voto-correo-electores-residentes-extranjero</v>
      </c>
      <c r="D413" s="99" t="s">
        <v>174</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cm="1">
        <f t="array" ref="A414">IFERROR(INDEX('03.Muestra'!$B$8:$B$42,SMALL(IF("Página Web"='03.Muestra'!$D$8:$D$42,ROW('03.Muestra'!$B$8:$B$42)-MIN(ROW('03.Muestra'!$D$8:$D$42))+1,""),ROW()-398)),"")</f>
        <v>16</v>
      </c>
      <c r="B414" s="85" t="str" cm="1">
        <f t="array" ref="B414">IFERROR(INDEX('03.Muestra'!$C$8:$C$42,SMALL(IF("Página Web"='03.Muestra'!$D$8:$D$42,ROW('03.Muestra'!$C$8:$C$42)-MIN(ROW('03.Muestra'!$D$8:$D$42))+1,""),ROW()-398)),"")</f>
        <v>Contacto</v>
      </c>
      <c r="C414" s="85" t="str" cm="1">
        <f t="array" ref="C414">IFERROR(INDEX('03.Muestra'!$F$8:$F$42,SMALL(IF("Página Web"='03.Muestra'!$D$8:$D$42,ROW('03.Muestra'!$F$8:$F$42)-MIN(ROW('03.Muestra'!$D$8:$D$42))+1,""),ROW()-398)),"")</f>
        <v>https://elecciones.comunidad.madrid/es/buzon-de-sugerencias</v>
      </c>
      <c r="D414" s="99" t="s">
        <v>176</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cm="1">
        <f t="array" ref="A415">IFERROR(INDEX('03.Muestra'!$B$8:$B$42,SMALL(IF("Página Web"='03.Muestra'!$D$8:$D$42,ROW('03.Muestra'!$B$8:$B$42)-MIN(ROW('03.Muestra'!$D$8:$D$42))+1,""),ROW()-398)),"")</f>
        <v>17</v>
      </c>
      <c r="B415" s="85" t="str" cm="1">
        <f t="array" ref="B415">IFERROR(INDEX('03.Muestra'!$C$8:$C$42,SMALL(IF("Página Web"='03.Muestra'!$D$8:$D$42,ROW('03.Muestra'!$C$8:$C$42)-MIN(ROW('03.Muestra'!$D$8:$D$42))+1,""),ROW()-398)),"")</f>
        <v>Buscador</v>
      </c>
      <c r="C415" s="85" t="str" cm="1">
        <f t="array" ref="C415">IFERROR(INDEX('03.Muestra'!$F$8:$F$42,SMALL(IF("Página Web"='03.Muestra'!$D$8:$D$42,ROW('03.Muestra'!$F$8:$F$42)-MIN(ROW('03.Muestra'!$D$8:$D$42))+1,""),ROW()-398)),"")</f>
        <v>https://elecciones.comunidad.madrid/es/search?search_api_fulltext=partido</v>
      </c>
      <c r="D415" s="99" t="s">
        <v>174</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cm="1">
        <f t="array" ref="A416">IFERROR(INDEX('03.Muestra'!$B$8:$B$42,SMALL(IF("Página Web"='03.Muestra'!$D$8:$D$42,ROW('03.Muestra'!$B$8:$B$42)-MIN(ROW('03.Muestra'!$D$8:$D$42))+1,""),ROW()-398)),"")</f>
        <v>18</v>
      </c>
      <c r="B416" s="85" t="str" cm="1">
        <f t="array" ref="B416">IFERROR(INDEX('03.Muestra'!$C$8:$C$42,SMALL(IF("Página Web"='03.Muestra'!$D$8:$D$42,ROW('03.Muestra'!$C$8:$C$42)-MIN(ROW('03.Muestra'!$D$8:$D$42))+1,""),ROW()-398)),"")</f>
        <v>Aviso Legal-Privacidad</v>
      </c>
      <c r="C416" s="85" t="str" cm="1">
        <f t="array" ref="C416">IFERROR(INDEX('03.Muestra'!$F$8:$F$42,SMALL(IF("Página Web"='03.Muestra'!$D$8:$D$42,ROW('03.Muestra'!$F$8:$F$42)-MIN(ROW('03.Muestra'!$D$8:$D$42))+1,""),ROW()-398)),"")</f>
        <v>https://elecciones.comunidad.madrid/es/aviso-legal</v>
      </c>
      <c r="D416" s="99" t="s">
        <v>174</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cm="1">
        <f t="array" ref="A417">IFERROR(INDEX('03.Muestra'!$B$8:$B$42,SMALL(IF("Página Web"='03.Muestra'!$D$8:$D$42,ROW('03.Muestra'!$B$8:$B$42)-MIN(ROW('03.Muestra'!$D$8:$D$42))+1,""),ROW()-398)),"")</f>
        <v>19</v>
      </c>
      <c r="B417" s="85" t="str" cm="1">
        <f t="array" ref="B417">IFERROR(INDEX('03.Muestra'!$C$8:$C$42,SMALL(IF("Página Web"='03.Muestra'!$D$8:$D$42,ROW('03.Muestra'!$C$8:$C$42)-MIN(ROW('03.Muestra'!$D$8:$D$42))+1,""),ROW()-398)),"")</f>
        <v>Mapa Web</v>
      </c>
      <c r="C417" s="85" t="str" cm="1">
        <f t="array" ref="C417">IFERROR(INDEX('03.Muestra'!$F$8:$F$42,SMALL(IF("Página Web"='03.Muestra'!$D$8:$D$42,ROW('03.Muestra'!$F$8:$F$42)-MIN(ROW('03.Muestra'!$D$8:$D$42))+1,""),ROW()-398)),"")</f>
        <v>https://elecciones.comunidad.madrid/es/sitemap</v>
      </c>
      <c r="D417" s="99" t="s">
        <v>174</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cm="1">
        <f t="array" ref="A418">IFERROR(INDEX('03.Muestra'!$B$8:$B$42,SMALL(IF("Página Web"='03.Muestra'!$D$8:$D$42,ROW('03.Muestra'!$B$8:$B$42)-MIN(ROW('03.Muestra'!$D$8:$D$42))+1,""),ROW()-398)),"")</f>
        <v>20</v>
      </c>
      <c r="B418" s="85" t="str" cm="1">
        <f t="array" ref="B418">IFERROR(INDEX('03.Muestra'!$C$8:$C$42,SMALL(IF("Página Web"='03.Muestra'!$D$8:$D$42,ROW('03.Muestra'!$C$8:$C$42)-MIN(ROW('03.Muestra'!$D$8:$D$42))+1,""),ROW()-398)),"")</f>
        <v>Declaracion Accesibilidad</v>
      </c>
      <c r="C418" s="85" t="str" cm="1">
        <f t="array" ref="C418">IFERROR(INDEX('03.Muestra'!$F$8:$F$42,SMALL(IF("Página Web"='03.Muestra'!$D$8:$D$42,ROW('03.Muestra'!$F$8:$F$42)-MIN(ROW('03.Muestra'!$D$8:$D$42))+1,""),ROW()-398)),"")</f>
        <v>https://elecciones.comunidad.madrid/es/accesibilidad</v>
      </c>
      <c r="D418" s="99" t="s">
        <v>174</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ref="D419:D433" si="21">IF(AND(B419&lt;&gt;"",C419&lt;&gt;""),"N/T","")</f>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181</v>
      </c>
      <c r="B436" s="23" t="s">
        <v>173</v>
      </c>
      <c r="C436" s="24" t="s">
        <v>235</v>
      </c>
      <c r="D436" s="25" t="s">
        <v>183</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https://elecciones.comunidad.madrid/es</v>
      </c>
      <c r="D437" s="99" t="s">
        <v>184</v>
      </c>
      <c r="E437" s="79" t="str">
        <f t="shared" ref="E437:E471" si="22">IF(D437&lt;&gt;"",IF(AND(B437&lt;&gt;"",C437&lt;&gt;""),"","ERR"),"")</f>
        <v/>
      </c>
      <c r="F437" s="86" t="s">
        <v>185</v>
      </c>
      <c r="G437" s="87" t="s">
        <v>186</v>
      </c>
      <c r="H437" s="88" t="s">
        <v>184</v>
      </c>
      <c r="I437" s="89" t="s">
        <v>176</v>
      </c>
      <c r="J437" s="90" t="s">
        <v>174</v>
      </c>
      <c r="K437" s="179" t="s">
        <v>180</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Resultado Elecciones 28M 2023</v>
      </c>
      <c r="C438" s="85" t="str" cm="1">
        <f t="array" ref="C438">IFERROR(INDEX('03.Muestra'!$F$8:$F$42,SMALL(IF("Página Web"='03.Muestra'!$D$8:$D$42,ROW('03.Muestra'!$F$8:$F$42)-MIN(ROW('03.Muestra'!$D$8:$D$42))+1,""),ROW()-436)),"")</f>
        <v>https://elecciones.comunidad.madrid/es/resultados-elecciones-asamblea-madrid-28m-2023</v>
      </c>
      <c r="D438" s="99" t="s">
        <v>184</v>
      </c>
      <c r="E438" s="79" t="str">
        <f t="shared" si="22"/>
        <v/>
      </c>
      <c r="F438" s="91">
        <f ca="1">COUNTIF($D437:INDIRECT("$D" &amp;  SUM(ROW()-1,'03.Muestra'!$D$45)-1),F437)</f>
        <v>0</v>
      </c>
      <c r="G438" s="91">
        <f ca="1">COUNTIF($D437:INDIRECT("$D" &amp;  SUM(ROW()-1,'03.Muestra'!$D$45)-1),G437)</f>
        <v>0</v>
      </c>
      <c r="H438" s="91">
        <f ca="1">COUNTIF($D437:INDIRECT("$D" &amp;  SUM(ROW()-1,'03.Muestra'!$D$45)-1),H437)</f>
        <v>20</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Normativa electoral</v>
      </c>
      <c r="C439" s="85" t="str" cm="1">
        <f t="array" ref="C439">IFERROR(INDEX('03.Muestra'!$F$8:$F$42,SMALL(IF("Página Web"='03.Muestra'!$D$8:$D$42,ROW('03.Muestra'!$F$8:$F$42)-MIN(ROW('03.Muestra'!$D$8:$D$42))+1,""),ROW()-436)),"")</f>
        <v>https://elecciones.comunidad.madrid/es/informacion-electoral/normativa-electoral</v>
      </c>
      <c r="D439" s="99" t="s">
        <v>184</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Calendario electoral</v>
      </c>
      <c r="C440" s="85" t="str" cm="1">
        <f t="array" ref="C440">IFERROR(INDEX('03.Muestra'!$F$8:$F$42,SMALL(IF("Página Web"='03.Muestra'!$D$8:$D$42,ROW('03.Muestra'!$F$8:$F$42)-MIN(ROW('03.Muestra'!$D$8:$D$42))+1,""),ROW()-436)),"")</f>
        <v>https://elecciones.comunidad.madrid/es/informacion-electoral/calendario-electoral</v>
      </c>
      <c r="D440" s="99" t="s">
        <v>184</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Direcciones y teléfonos</v>
      </c>
      <c r="C441" s="85" t="str" cm="1">
        <f t="array" ref="C441">IFERROR(INDEX('03.Muestra'!$F$8:$F$42,SMALL(IF("Página Web"='03.Muestra'!$D$8:$D$42,ROW('03.Muestra'!$F$8:$F$42)-MIN(ROW('03.Muestra'!$D$8:$D$42))+1,""),ROW()-436)),"")</f>
        <v>https://elecciones.comunidad.madrid/es/juntas-electorales/direcciones-telefonos</v>
      </c>
      <c r="D441" s="99" t="s">
        <v>184</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Impresos electrónicos</v>
      </c>
      <c r="C442" s="85" t="str" cm="1">
        <f t="array" ref="C442">IFERROR(INDEX('03.Muestra'!$F$8:$F$42,SMALL(IF("Página Web"='03.Muestra'!$D$8:$D$42,ROW('03.Muestra'!$F$8:$F$42)-MIN(ROW('03.Muestra'!$D$8:$D$42))+1,""),ROW()-436)),"")</f>
        <v>https://elecciones.comunidad.madrid/es/formaciones-politicas/impresos-electronicos</v>
      </c>
      <c r="D442" s="99" t="s">
        <v>184</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Listado de candidaturas</v>
      </c>
      <c r="C443" s="85" t="str" cm="1">
        <f t="array" ref="C443">IFERROR(INDEX('03.Muestra'!$F$8:$F$42,SMALL(IF("Página Web"='03.Muestra'!$D$8:$D$42,ROW('03.Muestra'!$F$8:$F$42)-MIN(ROW('03.Muestra'!$D$8:$D$42))+1,""),ROW()-436)),"")</f>
        <v>https://elecciones.comunidad.madrid/es/formaciones-politicas/listado-candidaturas-proclamadas</v>
      </c>
      <c r="D443" s="99" t="s">
        <v>184</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Partido Feminista de España</v>
      </c>
      <c r="C444" s="85" t="str" cm="1">
        <f t="array" ref="C444">IFERROR(INDEX('03.Muestra'!$F$8:$F$42,SMALL(IF("Página Web"='03.Muestra'!$D$8:$D$42,ROW('03.Muestra'!$F$8:$F$42)-MIN(ROW('03.Muestra'!$D$8:$D$42))+1,""),ROW()-436)),"")</f>
        <v>https://elecciones.comunidad.madrid/es/formaciones-politicas/listado-candidaturas/partido-feminista-espana</v>
      </c>
      <c r="D444" s="99" t="s">
        <v>184</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¿Dónde voto?</v>
      </c>
      <c r="C445" s="85" t="str" cm="1">
        <f t="array" ref="C445">IFERROR(INDEX('03.Muestra'!$F$8:$F$42,SMALL(IF("Página Web"='03.Muestra'!$D$8:$D$42,ROW('03.Muestra'!$F$8:$F$42)-MIN(ROW('03.Muestra'!$D$8:$D$42))+1,""),ROW()-436)),"")</f>
        <v>https://elecciones.comunidad.madrid/es/votar/donde-voto</v>
      </c>
      <c r="D445" s="99" t="s">
        <v>184</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Voto presencial</v>
      </c>
      <c r="C446" s="85" t="str" cm="1">
        <f t="array" ref="C446">IFERROR(INDEX('03.Muestra'!$F$8:$F$42,SMALL(IF("Página Web"='03.Muestra'!$D$8:$D$42,ROW('03.Muestra'!$F$8:$F$42)-MIN(ROW('03.Muestra'!$D$8:$D$42))+1,""),ROW()-436)),"")</f>
        <v>https://elecciones.comunidad.madrid/es/voto-local-electoral/voto-presencial</v>
      </c>
      <c r="D446" s="99" t="s">
        <v>184</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Ciudadanos temporalmente en el extranjero</v>
      </c>
      <c r="C447" s="85" t="str" cm="1">
        <f t="array" ref="C447">IFERROR(INDEX('03.Muestra'!$F$8:$F$42,SMALL(IF("Página Web"='03.Muestra'!$D$8:$D$42,ROW('03.Muestra'!$F$8:$F$42)-MIN(ROW('03.Muestra'!$D$8:$D$42))+1,""),ROW()-436)),"")</f>
        <v>https://elecciones.comunidad.madrid/es/voto-correo/solicitud-voto-temporalmente-ausentes</v>
      </c>
      <c r="D447" s="99" t="s">
        <v>184</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Nuevo votante</v>
      </c>
      <c r="C448" s="85" t="str" cm="1">
        <f t="array" ref="C448">IFERROR(INDEX('03.Muestra'!$F$8:$F$42,SMALL(IF("Página Web"='03.Muestra'!$D$8:$D$42,ROW('03.Muestra'!$F$8:$F$42)-MIN(ROW('03.Muestra'!$D$8:$D$42))+1,""),ROW()-436)),"")</f>
        <v>https://elecciones.comunidad.madrid/es/votar/nuevo-votante</v>
      </c>
      <c r="D448" s="99" t="s">
        <v>184</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Simulación método D'Hondt</v>
      </c>
      <c r="C449" s="85" t="str" cm="1">
        <f t="array" ref="C449">IFERROR(INDEX('03.Muestra'!$F$8:$F$42,SMALL(IF("Página Web"='03.Muestra'!$D$8:$D$42,ROW('03.Muestra'!$F$8:$F$42)-MIN(ROW('03.Muestra'!$D$8:$D$42))+1,""),ROW()-436)),"")</f>
        <v>https://elecciones.comunidad.madrid/es/informacion-util/simulacion-metodo-dhondt</v>
      </c>
      <c r="D449" s="99" t="s">
        <v>184</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Ley D'Hondt</v>
      </c>
      <c r="C450" s="85" t="str" cm="1">
        <f t="array" ref="C450">IFERROR(INDEX('03.Muestra'!$F$8:$F$42,SMALL(IF("Página Web"='03.Muestra'!$D$8:$D$42,ROW('03.Muestra'!$F$8:$F$42)-MIN(ROW('03.Muestra'!$D$8:$D$42))+1,""),ROW()-436)),"")</f>
        <v>https://elecciones.comunidad.madrid/es/resultados/ley_d_hondt</v>
      </c>
      <c r="D450" s="99" t="s">
        <v>184</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cm="1">
        <f t="array" ref="A451">IFERROR(INDEX('03.Muestra'!$B$8:$B$42,SMALL(IF("Página Web"='03.Muestra'!$D$8:$D$42,ROW('03.Muestra'!$B$8:$B$42)-MIN(ROW('03.Muestra'!$D$8:$D$42))+1,""),ROW()-436)),"")</f>
        <v>15</v>
      </c>
      <c r="B451" s="85" t="str" cm="1">
        <f t="array" ref="B451">IFERROR(INDEX('03.Muestra'!$C$8:$C$42,SMALL(IF("Página Web"='03.Muestra'!$D$8:$D$42,ROW('03.Muestra'!$C$8:$C$42)-MIN(ROW('03.Muestra'!$D$8:$D$42))+1,""),ROW()-436)),"")</f>
        <v>Voto por correo elector CERA en España</v>
      </c>
      <c r="C451" s="85" t="str" cm="1">
        <f t="array" ref="C451">IFERROR(INDEX('03.Muestra'!$F$8:$F$42,SMALL(IF("Página Web"='03.Muestra'!$D$8:$D$42,ROW('03.Muestra'!$F$8:$F$42)-MIN(ROW('03.Muestra'!$D$8:$D$42))+1,""),ROW()-436)),"")</f>
        <v>https://elecciones.comunidad.madrid/es/preguntas-frecuentes/voto-correo-electores-residentes-extranjero</v>
      </c>
      <c r="D451" s="99" t="s">
        <v>184</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cm="1">
        <f t="array" ref="A452">IFERROR(INDEX('03.Muestra'!$B$8:$B$42,SMALL(IF("Página Web"='03.Muestra'!$D$8:$D$42,ROW('03.Muestra'!$B$8:$B$42)-MIN(ROW('03.Muestra'!$D$8:$D$42))+1,""),ROW()-436)),"")</f>
        <v>16</v>
      </c>
      <c r="B452" s="85" t="str" cm="1">
        <f t="array" ref="B452">IFERROR(INDEX('03.Muestra'!$C$8:$C$42,SMALL(IF("Página Web"='03.Muestra'!$D$8:$D$42,ROW('03.Muestra'!$C$8:$C$42)-MIN(ROW('03.Muestra'!$D$8:$D$42))+1,""),ROW()-436)),"")</f>
        <v>Contacto</v>
      </c>
      <c r="C452" s="85" t="str" cm="1">
        <f t="array" ref="C452">IFERROR(INDEX('03.Muestra'!$F$8:$F$42,SMALL(IF("Página Web"='03.Muestra'!$D$8:$D$42,ROW('03.Muestra'!$F$8:$F$42)-MIN(ROW('03.Muestra'!$D$8:$D$42))+1,""),ROW()-436)),"")</f>
        <v>https://elecciones.comunidad.madrid/es/buzon-de-sugerencias</v>
      </c>
      <c r="D452" s="99" t="s">
        <v>184</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cm="1">
        <f t="array" ref="A453">IFERROR(INDEX('03.Muestra'!$B$8:$B$42,SMALL(IF("Página Web"='03.Muestra'!$D$8:$D$42,ROW('03.Muestra'!$B$8:$B$42)-MIN(ROW('03.Muestra'!$D$8:$D$42))+1,""),ROW()-436)),"")</f>
        <v>17</v>
      </c>
      <c r="B453" s="85" t="str" cm="1">
        <f t="array" ref="B453">IFERROR(INDEX('03.Muestra'!$C$8:$C$42,SMALL(IF("Página Web"='03.Muestra'!$D$8:$D$42,ROW('03.Muestra'!$C$8:$C$42)-MIN(ROW('03.Muestra'!$D$8:$D$42))+1,""),ROW()-436)),"")</f>
        <v>Buscador</v>
      </c>
      <c r="C453" s="85" t="str" cm="1">
        <f t="array" ref="C453">IFERROR(INDEX('03.Muestra'!$F$8:$F$42,SMALL(IF("Página Web"='03.Muestra'!$D$8:$D$42,ROW('03.Muestra'!$F$8:$F$42)-MIN(ROW('03.Muestra'!$D$8:$D$42))+1,""),ROW()-436)),"")</f>
        <v>https://elecciones.comunidad.madrid/es/search?search_api_fulltext=partido</v>
      </c>
      <c r="D453" s="99" t="s">
        <v>184</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cm="1">
        <f t="array" ref="A454">IFERROR(INDEX('03.Muestra'!$B$8:$B$42,SMALL(IF("Página Web"='03.Muestra'!$D$8:$D$42,ROW('03.Muestra'!$B$8:$B$42)-MIN(ROW('03.Muestra'!$D$8:$D$42))+1,""),ROW()-436)),"")</f>
        <v>18</v>
      </c>
      <c r="B454" s="85" t="str" cm="1">
        <f t="array" ref="B454">IFERROR(INDEX('03.Muestra'!$C$8:$C$42,SMALL(IF("Página Web"='03.Muestra'!$D$8:$D$42,ROW('03.Muestra'!$C$8:$C$42)-MIN(ROW('03.Muestra'!$D$8:$D$42))+1,""),ROW()-436)),"")</f>
        <v>Aviso Legal-Privacidad</v>
      </c>
      <c r="C454" s="85" t="str" cm="1">
        <f t="array" ref="C454">IFERROR(INDEX('03.Muestra'!$F$8:$F$42,SMALL(IF("Página Web"='03.Muestra'!$D$8:$D$42,ROW('03.Muestra'!$F$8:$F$42)-MIN(ROW('03.Muestra'!$D$8:$D$42))+1,""),ROW()-436)),"")</f>
        <v>https://elecciones.comunidad.madrid/es/aviso-legal</v>
      </c>
      <c r="D454" s="99" t="s">
        <v>184</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cm="1">
        <f t="array" ref="A455">IFERROR(INDEX('03.Muestra'!$B$8:$B$42,SMALL(IF("Página Web"='03.Muestra'!$D$8:$D$42,ROW('03.Muestra'!$B$8:$B$42)-MIN(ROW('03.Muestra'!$D$8:$D$42))+1,""),ROW()-436)),"")</f>
        <v>19</v>
      </c>
      <c r="B455" s="85" t="str" cm="1">
        <f t="array" ref="B455">IFERROR(INDEX('03.Muestra'!$C$8:$C$42,SMALL(IF("Página Web"='03.Muestra'!$D$8:$D$42,ROW('03.Muestra'!$C$8:$C$42)-MIN(ROW('03.Muestra'!$D$8:$D$42))+1,""),ROW()-436)),"")</f>
        <v>Mapa Web</v>
      </c>
      <c r="C455" s="85" t="str" cm="1">
        <f t="array" ref="C455">IFERROR(INDEX('03.Muestra'!$F$8:$F$42,SMALL(IF("Página Web"='03.Muestra'!$D$8:$D$42,ROW('03.Muestra'!$F$8:$F$42)-MIN(ROW('03.Muestra'!$D$8:$D$42))+1,""),ROW()-436)),"")</f>
        <v>https://elecciones.comunidad.madrid/es/sitemap</v>
      </c>
      <c r="D455" s="99" t="s">
        <v>184</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cm="1">
        <f t="array" ref="A456">IFERROR(INDEX('03.Muestra'!$B$8:$B$42,SMALL(IF("Página Web"='03.Muestra'!$D$8:$D$42,ROW('03.Muestra'!$B$8:$B$42)-MIN(ROW('03.Muestra'!$D$8:$D$42))+1,""),ROW()-436)),"")</f>
        <v>20</v>
      </c>
      <c r="B456" s="85" t="str" cm="1">
        <f t="array" ref="B456">IFERROR(INDEX('03.Muestra'!$C$8:$C$42,SMALL(IF("Página Web"='03.Muestra'!$D$8:$D$42,ROW('03.Muestra'!$C$8:$C$42)-MIN(ROW('03.Muestra'!$D$8:$D$42))+1,""),ROW()-436)),"")</f>
        <v>Declaracion Accesibilidad</v>
      </c>
      <c r="C456" s="85" t="str" cm="1">
        <f t="array" ref="C456">IFERROR(INDEX('03.Muestra'!$F$8:$F$42,SMALL(IF("Página Web"='03.Muestra'!$D$8:$D$42,ROW('03.Muestra'!$F$8:$F$42)-MIN(ROW('03.Muestra'!$D$8:$D$42))+1,""),ROW()-436)),"")</f>
        <v>https://elecciones.comunidad.madrid/es/accesibilidad</v>
      </c>
      <c r="D456" s="99" t="s">
        <v>184</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ref="D457:D471" si="23">IF(AND(B457&lt;&gt;"",C457&lt;&gt;""),"N/T","")</f>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181</v>
      </c>
      <c r="B474" s="23" t="s">
        <v>173</v>
      </c>
      <c r="C474" s="24" t="s">
        <v>236</v>
      </c>
      <c r="D474" s="25" t="s">
        <v>183</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https://elecciones.comunidad.madrid/es</v>
      </c>
      <c r="D475" s="99" t="s">
        <v>174</v>
      </c>
      <c r="E475" s="79" t="str">
        <f t="shared" ref="E475:E509" si="24">IF(D475&lt;&gt;"",IF(AND(B475&lt;&gt;"",C475&lt;&gt;""),"","ERR"),"")</f>
        <v/>
      </c>
      <c r="F475" s="86" t="s">
        <v>185</v>
      </c>
      <c r="G475" s="87" t="s">
        <v>186</v>
      </c>
      <c r="H475" s="88" t="s">
        <v>184</v>
      </c>
      <c r="I475" s="89" t="s">
        <v>176</v>
      </c>
      <c r="J475" s="90" t="s">
        <v>174</v>
      </c>
      <c r="K475" s="179" t="s">
        <v>180</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Resultado Elecciones 28M 2023</v>
      </c>
      <c r="C476" s="85" t="str" cm="1">
        <f t="array" ref="C476">IFERROR(INDEX('03.Muestra'!$F$8:$F$42,SMALL(IF("Página Web"='03.Muestra'!$D$8:$D$42,ROW('03.Muestra'!$F$8:$F$42)-MIN(ROW('03.Muestra'!$D$8:$D$42))+1,""),ROW()-474)),"")</f>
        <v>https://elecciones.comunidad.madrid/es/resultados-elecciones-asamblea-madrid-28m-2023</v>
      </c>
      <c r="D476" s="99" t="s">
        <v>174</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20</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Normativa electoral</v>
      </c>
      <c r="C477" s="85" t="str" cm="1">
        <f t="array" ref="C477">IFERROR(INDEX('03.Muestra'!$F$8:$F$42,SMALL(IF("Página Web"='03.Muestra'!$D$8:$D$42,ROW('03.Muestra'!$F$8:$F$42)-MIN(ROW('03.Muestra'!$D$8:$D$42))+1,""),ROW()-474)),"")</f>
        <v>https://elecciones.comunidad.madrid/es/informacion-electoral/normativa-electoral</v>
      </c>
      <c r="D477" s="99" t="s">
        <v>174</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Calendario electoral</v>
      </c>
      <c r="C478" s="85" t="str" cm="1">
        <f t="array" ref="C478">IFERROR(INDEX('03.Muestra'!$F$8:$F$42,SMALL(IF("Página Web"='03.Muestra'!$D$8:$D$42,ROW('03.Muestra'!$F$8:$F$42)-MIN(ROW('03.Muestra'!$D$8:$D$42))+1,""),ROW()-474)),"")</f>
        <v>https://elecciones.comunidad.madrid/es/informacion-electoral/calendario-electoral</v>
      </c>
      <c r="D478" s="99" t="s">
        <v>174</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Direcciones y teléfonos</v>
      </c>
      <c r="C479" s="85" t="str" cm="1">
        <f t="array" ref="C479">IFERROR(INDEX('03.Muestra'!$F$8:$F$42,SMALL(IF("Página Web"='03.Muestra'!$D$8:$D$42,ROW('03.Muestra'!$F$8:$F$42)-MIN(ROW('03.Muestra'!$D$8:$D$42))+1,""),ROW()-474)),"")</f>
        <v>https://elecciones.comunidad.madrid/es/juntas-electorales/direcciones-telefonos</v>
      </c>
      <c r="D479" s="99" t="s">
        <v>174</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Impresos electrónicos</v>
      </c>
      <c r="C480" s="85" t="str" cm="1">
        <f t="array" ref="C480">IFERROR(INDEX('03.Muestra'!$F$8:$F$42,SMALL(IF("Página Web"='03.Muestra'!$D$8:$D$42,ROW('03.Muestra'!$F$8:$F$42)-MIN(ROW('03.Muestra'!$D$8:$D$42))+1,""),ROW()-474)),"")</f>
        <v>https://elecciones.comunidad.madrid/es/formaciones-politicas/impresos-electronicos</v>
      </c>
      <c r="D480" s="99" t="s">
        <v>174</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Listado de candidaturas</v>
      </c>
      <c r="C481" s="85" t="str" cm="1">
        <f t="array" ref="C481">IFERROR(INDEX('03.Muestra'!$F$8:$F$42,SMALL(IF("Página Web"='03.Muestra'!$D$8:$D$42,ROW('03.Muestra'!$F$8:$F$42)-MIN(ROW('03.Muestra'!$D$8:$D$42))+1,""),ROW()-474)),"")</f>
        <v>https://elecciones.comunidad.madrid/es/formaciones-politicas/listado-candidaturas-proclamadas</v>
      </c>
      <c r="D481" s="99" t="s">
        <v>174</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Partido Feminista de España</v>
      </c>
      <c r="C482" s="85" t="str" cm="1">
        <f t="array" ref="C482">IFERROR(INDEX('03.Muestra'!$F$8:$F$42,SMALL(IF("Página Web"='03.Muestra'!$D$8:$D$42,ROW('03.Muestra'!$F$8:$F$42)-MIN(ROW('03.Muestra'!$D$8:$D$42))+1,""),ROW()-474)),"")</f>
        <v>https://elecciones.comunidad.madrid/es/formaciones-politicas/listado-candidaturas/partido-feminista-espana</v>
      </c>
      <c r="D482" s="99" t="s">
        <v>174</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¿Dónde voto?</v>
      </c>
      <c r="C483" s="85" t="str" cm="1">
        <f t="array" ref="C483">IFERROR(INDEX('03.Muestra'!$F$8:$F$42,SMALL(IF("Página Web"='03.Muestra'!$D$8:$D$42,ROW('03.Muestra'!$F$8:$F$42)-MIN(ROW('03.Muestra'!$D$8:$D$42))+1,""),ROW()-474)),"")</f>
        <v>https://elecciones.comunidad.madrid/es/votar/donde-voto</v>
      </c>
      <c r="D483" s="99" t="s">
        <v>174</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Voto presencial</v>
      </c>
      <c r="C484" s="85" t="str" cm="1">
        <f t="array" ref="C484">IFERROR(INDEX('03.Muestra'!$F$8:$F$42,SMALL(IF("Página Web"='03.Muestra'!$D$8:$D$42,ROW('03.Muestra'!$F$8:$F$42)-MIN(ROW('03.Muestra'!$D$8:$D$42))+1,""),ROW()-474)),"")</f>
        <v>https://elecciones.comunidad.madrid/es/voto-local-electoral/voto-presencial</v>
      </c>
      <c r="D484" s="99" t="s">
        <v>174</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Ciudadanos temporalmente en el extranjero</v>
      </c>
      <c r="C485" s="85" t="str" cm="1">
        <f t="array" ref="C485">IFERROR(INDEX('03.Muestra'!$F$8:$F$42,SMALL(IF("Página Web"='03.Muestra'!$D$8:$D$42,ROW('03.Muestra'!$F$8:$F$42)-MIN(ROW('03.Muestra'!$D$8:$D$42))+1,""),ROW()-474)),"")</f>
        <v>https://elecciones.comunidad.madrid/es/voto-correo/solicitud-voto-temporalmente-ausentes</v>
      </c>
      <c r="D485" s="99" t="s">
        <v>174</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Nuevo votante</v>
      </c>
      <c r="C486" s="85" t="str" cm="1">
        <f t="array" ref="C486">IFERROR(INDEX('03.Muestra'!$F$8:$F$42,SMALL(IF("Página Web"='03.Muestra'!$D$8:$D$42,ROW('03.Muestra'!$F$8:$F$42)-MIN(ROW('03.Muestra'!$D$8:$D$42))+1,""),ROW()-474)),"")</f>
        <v>https://elecciones.comunidad.madrid/es/votar/nuevo-votante</v>
      </c>
      <c r="D486" s="99" t="s">
        <v>174</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Simulación método D'Hondt</v>
      </c>
      <c r="C487" s="85" t="str" cm="1">
        <f t="array" ref="C487">IFERROR(INDEX('03.Muestra'!$F$8:$F$42,SMALL(IF("Página Web"='03.Muestra'!$D$8:$D$42,ROW('03.Muestra'!$F$8:$F$42)-MIN(ROW('03.Muestra'!$D$8:$D$42))+1,""),ROW()-474)),"")</f>
        <v>https://elecciones.comunidad.madrid/es/informacion-util/simulacion-metodo-dhondt</v>
      </c>
      <c r="D487" s="99" t="s">
        <v>174</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Ley D'Hondt</v>
      </c>
      <c r="C488" s="85" t="str" cm="1">
        <f t="array" ref="C488">IFERROR(INDEX('03.Muestra'!$F$8:$F$42,SMALL(IF("Página Web"='03.Muestra'!$D$8:$D$42,ROW('03.Muestra'!$F$8:$F$42)-MIN(ROW('03.Muestra'!$D$8:$D$42))+1,""),ROW()-474)),"")</f>
        <v>https://elecciones.comunidad.madrid/es/resultados/ley_d_hondt</v>
      </c>
      <c r="D488" s="99" t="s">
        <v>174</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cm="1">
        <f t="array" ref="A489">IFERROR(INDEX('03.Muestra'!$B$8:$B$42,SMALL(IF("Página Web"='03.Muestra'!$D$8:$D$42,ROW('03.Muestra'!$B$8:$B$42)-MIN(ROW('03.Muestra'!$D$8:$D$42))+1,""),ROW()-474)),"")</f>
        <v>15</v>
      </c>
      <c r="B489" s="85" t="str" cm="1">
        <f t="array" ref="B489">IFERROR(INDEX('03.Muestra'!$C$8:$C$42,SMALL(IF("Página Web"='03.Muestra'!$D$8:$D$42,ROW('03.Muestra'!$C$8:$C$42)-MIN(ROW('03.Muestra'!$D$8:$D$42))+1,""),ROW()-474)),"")</f>
        <v>Voto por correo elector CERA en España</v>
      </c>
      <c r="C489" s="85" t="str" cm="1">
        <f t="array" ref="C489">IFERROR(INDEX('03.Muestra'!$F$8:$F$42,SMALL(IF("Página Web"='03.Muestra'!$D$8:$D$42,ROW('03.Muestra'!$F$8:$F$42)-MIN(ROW('03.Muestra'!$D$8:$D$42))+1,""),ROW()-474)),"")</f>
        <v>https://elecciones.comunidad.madrid/es/preguntas-frecuentes/voto-correo-electores-residentes-extranjero</v>
      </c>
      <c r="D489" s="99" t="s">
        <v>174</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cm="1">
        <f t="array" ref="A490">IFERROR(INDEX('03.Muestra'!$B$8:$B$42,SMALL(IF("Página Web"='03.Muestra'!$D$8:$D$42,ROW('03.Muestra'!$B$8:$B$42)-MIN(ROW('03.Muestra'!$D$8:$D$42))+1,""),ROW()-474)),"")</f>
        <v>16</v>
      </c>
      <c r="B490" s="85" t="str" cm="1">
        <f t="array" ref="B490">IFERROR(INDEX('03.Muestra'!$C$8:$C$42,SMALL(IF("Página Web"='03.Muestra'!$D$8:$D$42,ROW('03.Muestra'!$C$8:$C$42)-MIN(ROW('03.Muestra'!$D$8:$D$42))+1,""),ROW()-474)),"")</f>
        <v>Contacto</v>
      </c>
      <c r="C490" s="85" t="str" cm="1">
        <f t="array" ref="C490">IFERROR(INDEX('03.Muestra'!$F$8:$F$42,SMALL(IF("Página Web"='03.Muestra'!$D$8:$D$42,ROW('03.Muestra'!$F$8:$F$42)-MIN(ROW('03.Muestra'!$D$8:$D$42))+1,""),ROW()-474)),"")</f>
        <v>https://elecciones.comunidad.madrid/es/buzon-de-sugerencias</v>
      </c>
      <c r="D490" s="99" t="s">
        <v>174</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cm="1">
        <f t="array" ref="A491">IFERROR(INDEX('03.Muestra'!$B$8:$B$42,SMALL(IF("Página Web"='03.Muestra'!$D$8:$D$42,ROW('03.Muestra'!$B$8:$B$42)-MIN(ROW('03.Muestra'!$D$8:$D$42))+1,""),ROW()-474)),"")</f>
        <v>17</v>
      </c>
      <c r="B491" s="85" t="str" cm="1">
        <f t="array" ref="B491">IFERROR(INDEX('03.Muestra'!$C$8:$C$42,SMALL(IF("Página Web"='03.Muestra'!$D$8:$D$42,ROW('03.Muestra'!$C$8:$C$42)-MIN(ROW('03.Muestra'!$D$8:$D$42))+1,""),ROW()-474)),"")</f>
        <v>Buscador</v>
      </c>
      <c r="C491" s="85" t="str" cm="1">
        <f t="array" ref="C491">IFERROR(INDEX('03.Muestra'!$F$8:$F$42,SMALL(IF("Página Web"='03.Muestra'!$D$8:$D$42,ROW('03.Muestra'!$F$8:$F$42)-MIN(ROW('03.Muestra'!$D$8:$D$42))+1,""),ROW()-474)),"")</f>
        <v>https://elecciones.comunidad.madrid/es/search?search_api_fulltext=partido</v>
      </c>
      <c r="D491" s="99" t="s">
        <v>174</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cm="1">
        <f t="array" ref="A492">IFERROR(INDEX('03.Muestra'!$B$8:$B$42,SMALL(IF("Página Web"='03.Muestra'!$D$8:$D$42,ROW('03.Muestra'!$B$8:$B$42)-MIN(ROW('03.Muestra'!$D$8:$D$42))+1,""),ROW()-474)),"")</f>
        <v>18</v>
      </c>
      <c r="B492" s="85" t="str" cm="1">
        <f t="array" ref="B492">IFERROR(INDEX('03.Muestra'!$C$8:$C$42,SMALL(IF("Página Web"='03.Muestra'!$D$8:$D$42,ROW('03.Muestra'!$C$8:$C$42)-MIN(ROW('03.Muestra'!$D$8:$D$42))+1,""),ROW()-474)),"")</f>
        <v>Aviso Legal-Privacidad</v>
      </c>
      <c r="C492" s="85" t="str" cm="1">
        <f t="array" ref="C492">IFERROR(INDEX('03.Muestra'!$F$8:$F$42,SMALL(IF("Página Web"='03.Muestra'!$D$8:$D$42,ROW('03.Muestra'!$F$8:$F$42)-MIN(ROW('03.Muestra'!$D$8:$D$42))+1,""),ROW()-474)),"")</f>
        <v>https://elecciones.comunidad.madrid/es/aviso-legal</v>
      </c>
      <c r="D492" s="99" t="s">
        <v>174</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cm="1">
        <f t="array" ref="A493">IFERROR(INDEX('03.Muestra'!$B$8:$B$42,SMALL(IF("Página Web"='03.Muestra'!$D$8:$D$42,ROW('03.Muestra'!$B$8:$B$42)-MIN(ROW('03.Muestra'!$D$8:$D$42))+1,""),ROW()-474)),"")</f>
        <v>19</v>
      </c>
      <c r="B493" s="85" t="str" cm="1">
        <f t="array" ref="B493">IFERROR(INDEX('03.Muestra'!$C$8:$C$42,SMALL(IF("Página Web"='03.Muestra'!$D$8:$D$42,ROW('03.Muestra'!$C$8:$C$42)-MIN(ROW('03.Muestra'!$D$8:$D$42))+1,""),ROW()-474)),"")</f>
        <v>Mapa Web</v>
      </c>
      <c r="C493" s="85" t="str" cm="1">
        <f t="array" ref="C493">IFERROR(INDEX('03.Muestra'!$F$8:$F$42,SMALL(IF("Página Web"='03.Muestra'!$D$8:$D$42,ROW('03.Muestra'!$F$8:$F$42)-MIN(ROW('03.Muestra'!$D$8:$D$42))+1,""),ROW()-474)),"")</f>
        <v>https://elecciones.comunidad.madrid/es/sitemap</v>
      </c>
      <c r="D493" s="99" t="s">
        <v>174</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cm="1">
        <f t="array" ref="A494">IFERROR(INDEX('03.Muestra'!$B$8:$B$42,SMALL(IF("Página Web"='03.Muestra'!$D$8:$D$42,ROW('03.Muestra'!$B$8:$B$42)-MIN(ROW('03.Muestra'!$D$8:$D$42))+1,""),ROW()-474)),"")</f>
        <v>20</v>
      </c>
      <c r="B494" s="85" t="str" cm="1">
        <f t="array" ref="B494">IFERROR(INDEX('03.Muestra'!$C$8:$C$42,SMALL(IF("Página Web"='03.Muestra'!$D$8:$D$42,ROW('03.Muestra'!$C$8:$C$42)-MIN(ROW('03.Muestra'!$D$8:$D$42))+1,""),ROW()-474)),"")</f>
        <v>Declaracion Accesibilidad</v>
      </c>
      <c r="C494" s="85" t="str" cm="1">
        <f t="array" ref="C494">IFERROR(INDEX('03.Muestra'!$F$8:$F$42,SMALL(IF("Página Web"='03.Muestra'!$D$8:$D$42,ROW('03.Muestra'!$F$8:$F$42)-MIN(ROW('03.Muestra'!$D$8:$D$42))+1,""),ROW()-474)),"")</f>
        <v>https://elecciones.comunidad.madrid/es/accesibilidad</v>
      </c>
      <c r="D494" s="99" t="s">
        <v>174</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ref="D495:D509" si="25">IF(AND(B495&lt;&gt;"",C495&lt;&gt;""),"N/T","")</f>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181</v>
      </c>
      <c r="B512" s="23" t="s">
        <v>173</v>
      </c>
      <c r="C512" s="24" t="s">
        <v>237</v>
      </c>
      <c r="D512" s="25" t="s">
        <v>183</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https://elecciones.comunidad.madrid/es</v>
      </c>
      <c r="D513" s="99" t="s">
        <v>176</v>
      </c>
      <c r="E513" s="79" t="str">
        <f t="shared" ref="E513:E547" si="26">IF(D513&lt;&gt;"",IF(AND(B513&lt;&gt;"",C513&lt;&gt;""),"","ERR"),"")</f>
        <v/>
      </c>
      <c r="F513" s="86" t="s">
        <v>185</v>
      </c>
      <c r="G513" s="87" t="s">
        <v>186</v>
      </c>
      <c r="H513" s="88" t="s">
        <v>184</v>
      </c>
      <c r="I513" s="89" t="s">
        <v>176</v>
      </c>
      <c r="J513" s="90" t="s">
        <v>174</v>
      </c>
      <c r="K513" s="179" t="s">
        <v>180</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Resultado Elecciones 28M 2023</v>
      </c>
      <c r="C514" s="85" t="str" cm="1">
        <f t="array" ref="C514">IFERROR(INDEX('03.Muestra'!$F$8:$F$42,SMALL(IF("Página Web"='03.Muestra'!$D$8:$D$42,ROW('03.Muestra'!$F$8:$F$42)-MIN(ROW('03.Muestra'!$D$8:$D$42))+1,""),ROW()-512)),"")</f>
        <v>https://elecciones.comunidad.madrid/es/resultados-elecciones-asamblea-madrid-28m-2023</v>
      </c>
      <c r="D514" s="99" t="s">
        <v>176</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20</v>
      </c>
      <c r="J514" s="91">
        <f ca="1">COUNTIF($D513:INDIRECT("$D" &amp;  SUM(ROW()-1,'03.Muestra'!$D$45)-1),J513)</f>
        <v>0</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Normativa electoral</v>
      </c>
      <c r="C515" s="85" t="str" cm="1">
        <f t="array" ref="C515">IFERROR(INDEX('03.Muestra'!$F$8:$F$42,SMALL(IF("Página Web"='03.Muestra'!$D$8:$D$42,ROW('03.Muestra'!$F$8:$F$42)-MIN(ROW('03.Muestra'!$D$8:$D$42))+1,""),ROW()-512)),"")</f>
        <v>https://elecciones.comunidad.madrid/es/informacion-electoral/normativa-electoral</v>
      </c>
      <c r="D515" s="99" t="s">
        <v>176</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Calendario electoral</v>
      </c>
      <c r="C516" s="85" t="str" cm="1">
        <f t="array" ref="C516">IFERROR(INDEX('03.Muestra'!$F$8:$F$42,SMALL(IF("Página Web"='03.Muestra'!$D$8:$D$42,ROW('03.Muestra'!$F$8:$F$42)-MIN(ROW('03.Muestra'!$D$8:$D$42))+1,""),ROW()-512)),"")</f>
        <v>https://elecciones.comunidad.madrid/es/informacion-electoral/calendario-electoral</v>
      </c>
      <c r="D516" s="99" t="s">
        <v>176</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Direcciones y teléfonos</v>
      </c>
      <c r="C517" s="85" t="str" cm="1">
        <f t="array" ref="C517">IFERROR(INDEX('03.Muestra'!$F$8:$F$42,SMALL(IF("Página Web"='03.Muestra'!$D$8:$D$42,ROW('03.Muestra'!$F$8:$F$42)-MIN(ROW('03.Muestra'!$D$8:$D$42))+1,""),ROW()-512)),"")</f>
        <v>https://elecciones.comunidad.madrid/es/juntas-electorales/direcciones-telefonos</v>
      </c>
      <c r="D517" s="99" t="s">
        <v>176</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Impresos electrónicos</v>
      </c>
      <c r="C518" s="85" t="str" cm="1">
        <f t="array" ref="C518">IFERROR(INDEX('03.Muestra'!$F$8:$F$42,SMALL(IF("Página Web"='03.Muestra'!$D$8:$D$42,ROW('03.Muestra'!$F$8:$F$42)-MIN(ROW('03.Muestra'!$D$8:$D$42))+1,""),ROW()-512)),"")</f>
        <v>https://elecciones.comunidad.madrid/es/formaciones-politicas/impresos-electronicos</v>
      </c>
      <c r="D518" s="99" t="s">
        <v>176</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Listado de candidaturas</v>
      </c>
      <c r="C519" s="85" t="str" cm="1">
        <f t="array" ref="C519">IFERROR(INDEX('03.Muestra'!$F$8:$F$42,SMALL(IF("Página Web"='03.Muestra'!$D$8:$D$42,ROW('03.Muestra'!$F$8:$F$42)-MIN(ROW('03.Muestra'!$D$8:$D$42))+1,""),ROW()-512)),"")</f>
        <v>https://elecciones.comunidad.madrid/es/formaciones-politicas/listado-candidaturas-proclamadas</v>
      </c>
      <c r="D519" s="99" t="s">
        <v>176</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Partido Feminista de España</v>
      </c>
      <c r="C520" s="85" t="str" cm="1">
        <f t="array" ref="C520">IFERROR(INDEX('03.Muestra'!$F$8:$F$42,SMALL(IF("Página Web"='03.Muestra'!$D$8:$D$42,ROW('03.Muestra'!$F$8:$F$42)-MIN(ROW('03.Muestra'!$D$8:$D$42))+1,""),ROW()-512)),"")</f>
        <v>https://elecciones.comunidad.madrid/es/formaciones-politicas/listado-candidaturas/partido-feminista-espana</v>
      </c>
      <c r="D520" s="99" t="s">
        <v>176</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¿Dónde voto?</v>
      </c>
      <c r="C521" s="85" t="str" cm="1">
        <f t="array" ref="C521">IFERROR(INDEX('03.Muestra'!$F$8:$F$42,SMALL(IF("Página Web"='03.Muestra'!$D$8:$D$42,ROW('03.Muestra'!$F$8:$F$42)-MIN(ROW('03.Muestra'!$D$8:$D$42))+1,""),ROW()-512)),"")</f>
        <v>https://elecciones.comunidad.madrid/es/votar/donde-voto</v>
      </c>
      <c r="D521" s="99" t="s">
        <v>176</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Voto presencial</v>
      </c>
      <c r="C522" s="85" t="str" cm="1">
        <f t="array" ref="C522">IFERROR(INDEX('03.Muestra'!$F$8:$F$42,SMALL(IF("Página Web"='03.Muestra'!$D$8:$D$42,ROW('03.Muestra'!$F$8:$F$42)-MIN(ROW('03.Muestra'!$D$8:$D$42))+1,""),ROW()-512)),"")</f>
        <v>https://elecciones.comunidad.madrid/es/voto-local-electoral/voto-presencial</v>
      </c>
      <c r="D522" s="99" t="s">
        <v>176</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Ciudadanos temporalmente en el extranjero</v>
      </c>
      <c r="C523" s="85" t="str" cm="1">
        <f t="array" ref="C523">IFERROR(INDEX('03.Muestra'!$F$8:$F$42,SMALL(IF("Página Web"='03.Muestra'!$D$8:$D$42,ROW('03.Muestra'!$F$8:$F$42)-MIN(ROW('03.Muestra'!$D$8:$D$42))+1,""),ROW()-512)),"")</f>
        <v>https://elecciones.comunidad.madrid/es/voto-correo/solicitud-voto-temporalmente-ausentes</v>
      </c>
      <c r="D523" s="99" t="s">
        <v>176</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Nuevo votante</v>
      </c>
      <c r="C524" s="85" t="str" cm="1">
        <f t="array" ref="C524">IFERROR(INDEX('03.Muestra'!$F$8:$F$42,SMALL(IF("Página Web"='03.Muestra'!$D$8:$D$42,ROW('03.Muestra'!$F$8:$F$42)-MIN(ROW('03.Muestra'!$D$8:$D$42))+1,""),ROW()-512)),"")</f>
        <v>https://elecciones.comunidad.madrid/es/votar/nuevo-votante</v>
      </c>
      <c r="D524" s="99" t="s">
        <v>176</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Simulación método D'Hondt</v>
      </c>
      <c r="C525" s="85" t="str" cm="1">
        <f t="array" ref="C525">IFERROR(INDEX('03.Muestra'!$F$8:$F$42,SMALL(IF("Página Web"='03.Muestra'!$D$8:$D$42,ROW('03.Muestra'!$F$8:$F$42)-MIN(ROW('03.Muestra'!$D$8:$D$42))+1,""),ROW()-512)),"")</f>
        <v>https://elecciones.comunidad.madrid/es/informacion-util/simulacion-metodo-dhondt</v>
      </c>
      <c r="D525" s="99" t="s">
        <v>176</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Ley D'Hondt</v>
      </c>
      <c r="C526" s="85" t="str" cm="1">
        <f t="array" ref="C526">IFERROR(INDEX('03.Muestra'!$F$8:$F$42,SMALL(IF("Página Web"='03.Muestra'!$D$8:$D$42,ROW('03.Muestra'!$F$8:$F$42)-MIN(ROW('03.Muestra'!$D$8:$D$42))+1,""),ROW()-512)),"")</f>
        <v>https://elecciones.comunidad.madrid/es/resultados/ley_d_hondt</v>
      </c>
      <c r="D526" s="99" t="s">
        <v>176</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cm="1">
        <f t="array" ref="A527">IFERROR(INDEX('03.Muestra'!$B$8:$B$42,SMALL(IF("Página Web"='03.Muestra'!$D$8:$D$42,ROW('03.Muestra'!$B$8:$B$42)-MIN(ROW('03.Muestra'!$D$8:$D$42))+1,""),ROW()-512)),"")</f>
        <v>15</v>
      </c>
      <c r="B527" s="85" t="str" cm="1">
        <f t="array" ref="B527">IFERROR(INDEX('03.Muestra'!$C$8:$C$42,SMALL(IF("Página Web"='03.Muestra'!$D$8:$D$42,ROW('03.Muestra'!$C$8:$C$42)-MIN(ROW('03.Muestra'!$D$8:$D$42))+1,""),ROW()-512)),"")</f>
        <v>Voto por correo elector CERA en España</v>
      </c>
      <c r="C527" s="85" t="str" cm="1">
        <f t="array" ref="C527">IFERROR(INDEX('03.Muestra'!$F$8:$F$42,SMALL(IF("Página Web"='03.Muestra'!$D$8:$D$42,ROW('03.Muestra'!$F$8:$F$42)-MIN(ROW('03.Muestra'!$D$8:$D$42))+1,""),ROW()-512)),"")</f>
        <v>https://elecciones.comunidad.madrid/es/preguntas-frecuentes/voto-correo-electores-residentes-extranjero</v>
      </c>
      <c r="D527" s="99" t="s">
        <v>176</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cm="1">
        <f t="array" ref="A528">IFERROR(INDEX('03.Muestra'!$B$8:$B$42,SMALL(IF("Página Web"='03.Muestra'!$D$8:$D$42,ROW('03.Muestra'!$B$8:$B$42)-MIN(ROW('03.Muestra'!$D$8:$D$42))+1,""),ROW()-512)),"")</f>
        <v>16</v>
      </c>
      <c r="B528" s="85" t="str" cm="1">
        <f t="array" ref="B528">IFERROR(INDEX('03.Muestra'!$C$8:$C$42,SMALL(IF("Página Web"='03.Muestra'!$D$8:$D$42,ROW('03.Muestra'!$C$8:$C$42)-MIN(ROW('03.Muestra'!$D$8:$D$42))+1,""),ROW()-512)),"")</f>
        <v>Contacto</v>
      </c>
      <c r="C528" s="85" t="str" cm="1">
        <f t="array" ref="C528">IFERROR(INDEX('03.Muestra'!$F$8:$F$42,SMALL(IF("Página Web"='03.Muestra'!$D$8:$D$42,ROW('03.Muestra'!$F$8:$F$42)-MIN(ROW('03.Muestra'!$D$8:$D$42))+1,""),ROW()-512)),"")</f>
        <v>https://elecciones.comunidad.madrid/es/buzon-de-sugerencias</v>
      </c>
      <c r="D528" s="99" t="s">
        <v>176</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cm="1">
        <f t="array" ref="A529">IFERROR(INDEX('03.Muestra'!$B$8:$B$42,SMALL(IF("Página Web"='03.Muestra'!$D$8:$D$42,ROW('03.Muestra'!$B$8:$B$42)-MIN(ROW('03.Muestra'!$D$8:$D$42))+1,""),ROW()-512)),"")</f>
        <v>17</v>
      </c>
      <c r="B529" s="85" t="str" cm="1">
        <f t="array" ref="B529">IFERROR(INDEX('03.Muestra'!$C$8:$C$42,SMALL(IF("Página Web"='03.Muestra'!$D$8:$D$42,ROW('03.Muestra'!$C$8:$C$42)-MIN(ROW('03.Muestra'!$D$8:$D$42))+1,""),ROW()-512)),"")</f>
        <v>Buscador</v>
      </c>
      <c r="C529" s="85" t="str" cm="1">
        <f t="array" ref="C529">IFERROR(INDEX('03.Muestra'!$F$8:$F$42,SMALL(IF("Página Web"='03.Muestra'!$D$8:$D$42,ROW('03.Muestra'!$F$8:$F$42)-MIN(ROW('03.Muestra'!$D$8:$D$42))+1,""),ROW()-512)),"")</f>
        <v>https://elecciones.comunidad.madrid/es/search?search_api_fulltext=partido</v>
      </c>
      <c r="D529" s="99" t="s">
        <v>176</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cm="1">
        <f t="array" ref="A530">IFERROR(INDEX('03.Muestra'!$B$8:$B$42,SMALL(IF("Página Web"='03.Muestra'!$D$8:$D$42,ROW('03.Muestra'!$B$8:$B$42)-MIN(ROW('03.Muestra'!$D$8:$D$42))+1,""),ROW()-512)),"")</f>
        <v>18</v>
      </c>
      <c r="B530" s="85" t="str" cm="1">
        <f t="array" ref="B530">IFERROR(INDEX('03.Muestra'!$C$8:$C$42,SMALL(IF("Página Web"='03.Muestra'!$D$8:$D$42,ROW('03.Muestra'!$C$8:$C$42)-MIN(ROW('03.Muestra'!$D$8:$D$42))+1,""),ROW()-512)),"")</f>
        <v>Aviso Legal-Privacidad</v>
      </c>
      <c r="C530" s="85" t="str" cm="1">
        <f t="array" ref="C530">IFERROR(INDEX('03.Muestra'!$F$8:$F$42,SMALL(IF("Página Web"='03.Muestra'!$D$8:$D$42,ROW('03.Muestra'!$F$8:$F$42)-MIN(ROW('03.Muestra'!$D$8:$D$42))+1,""),ROW()-512)),"")</f>
        <v>https://elecciones.comunidad.madrid/es/aviso-legal</v>
      </c>
      <c r="D530" s="99" t="s">
        <v>176</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cm="1">
        <f t="array" ref="A531">IFERROR(INDEX('03.Muestra'!$B$8:$B$42,SMALL(IF("Página Web"='03.Muestra'!$D$8:$D$42,ROW('03.Muestra'!$B$8:$B$42)-MIN(ROW('03.Muestra'!$D$8:$D$42))+1,""),ROW()-512)),"")</f>
        <v>19</v>
      </c>
      <c r="B531" s="85" t="str" cm="1">
        <f t="array" ref="B531">IFERROR(INDEX('03.Muestra'!$C$8:$C$42,SMALL(IF("Página Web"='03.Muestra'!$D$8:$D$42,ROW('03.Muestra'!$C$8:$C$42)-MIN(ROW('03.Muestra'!$D$8:$D$42))+1,""),ROW()-512)),"")</f>
        <v>Mapa Web</v>
      </c>
      <c r="C531" s="85" t="str" cm="1">
        <f t="array" ref="C531">IFERROR(INDEX('03.Muestra'!$F$8:$F$42,SMALL(IF("Página Web"='03.Muestra'!$D$8:$D$42,ROW('03.Muestra'!$F$8:$F$42)-MIN(ROW('03.Muestra'!$D$8:$D$42))+1,""),ROW()-512)),"")</f>
        <v>https://elecciones.comunidad.madrid/es/sitemap</v>
      </c>
      <c r="D531" s="99" t="s">
        <v>176</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cm="1">
        <f t="array" ref="A532">IFERROR(INDEX('03.Muestra'!$B$8:$B$42,SMALL(IF("Página Web"='03.Muestra'!$D$8:$D$42,ROW('03.Muestra'!$B$8:$B$42)-MIN(ROW('03.Muestra'!$D$8:$D$42))+1,""),ROW()-512)),"")</f>
        <v>20</v>
      </c>
      <c r="B532" s="85" t="str" cm="1">
        <f t="array" ref="B532">IFERROR(INDEX('03.Muestra'!$C$8:$C$42,SMALL(IF("Página Web"='03.Muestra'!$D$8:$D$42,ROW('03.Muestra'!$C$8:$C$42)-MIN(ROW('03.Muestra'!$D$8:$D$42))+1,""),ROW()-512)),"")</f>
        <v>Declaracion Accesibilidad</v>
      </c>
      <c r="C532" s="85" t="str" cm="1">
        <f t="array" ref="C532">IFERROR(INDEX('03.Muestra'!$F$8:$F$42,SMALL(IF("Página Web"='03.Muestra'!$D$8:$D$42,ROW('03.Muestra'!$F$8:$F$42)-MIN(ROW('03.Muestra'!$D$8:$D$42))+1,""),ROW()-512)),"")</f>
        <v>https://elecciones.comunidad.madrid/es/accesibilidad</v>
      </c>
      <c r="D532" s="99" t="s">
        <v>176</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ref="D533:D547" si="27">IF(AND(B533&lt;&gt;"",C533&lt;&gt;""),"N/T","")</f>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181</v>
      </c>
      <c r="B550" s="23" t="s">
        <v>173</v>
      </c>
      <c r="C550" s="24" t="s">
        <v>238</v>
      </c>
      <c r="D550" s="25" t="s">
        <v>183</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https://elecciones.comunidad.madrid/es</v>
      </c>
      <c r="D551" s="99" t="s">
        <v>184</v>
      </c>
      <c r="E551" s="79" t="str">
        <f t="shared" ref="E551:E585" si="28">IF(D551&lt;&gt;"",IF(AND(B551&lt;&gt;"",C551&lt;&gt;""),"","ERR"),"")</f>
        <v/>
      </c>
      <c r="F551" s="86" t="s">
        <v>185</v>
      </c>
      <c r="G551" s="87" t="s">
        <v>186</v>
      </c>
      <c r="H551" s="88" t="s">
        <v>184</v>
      </c>
      <c r="I551" s="89" t="s">
        <v>176</v>
      </c>
      <c r="J551" s="90" t="s">
        <v>174</v>
      </c>
      <c r="K551" s="179" t="s">
        <v>180</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Resultado Elecciones 28M 2023</v>
      </c>
      <c r="C552" s="85" t="str" cm="1">
        <f t="array" ref="C552">IFERROR(INDEX('03.Muestra'!$F$8:$F$42,SMALL(IF("Página Web"='03.Muestra'!$D$8:$D$42,ROW('03.Muestra'!$F$8:$F$42)-MIN(ROW('03.Muestra'!$D$8:$D$42))+1,""),ROW()-550)),"")</f>
        <v>https://elecciones.comunidad.madrid/es/resultados-elecciones-asamblea-madrid-28m-2023</v>
      </c>
      <c r="D552" s="99" t="s">
        <v>174</v>
      </c>
      <c r="E552" s="79" t="str">
        <f t="shared" si="28"/>
        <v/>
      </c>
      <c r="F552" s="91">
        <f ca="1">COUNTIF($D551:INDIRECT("$D" &amp;  SUM(ROW()-1,'03.Muestra'!$D$45)-1),F551)</f>
        <v>0</v>
      </c>
      <c r="G552" s="91">
        <f ca="1">COUNTIF($D551:INDIRECT("$D" &amp;  SUM(ROW()-1,'03.Muestra'!$D$45)-1),G551)</f>
        <v>0</v>
      </c>
      <c r="H552" s="91">
        <f ca="1">COUNTIF($D551:INDIRECT("$D" &amp;  SUM(ROW()-1,'03.Muestra'!$D$45)-1),H551)</f>
        <v>19</v>
      </c>
      <c r="I552" s="91">
        <f ca="1">COUNTIF($D551:INDIRECT("$D" &amp;  SUM(ROW()-1,'03.Muestra'!$D$45)-1),I551)</f>
        <v>0</v>
      </c>
      <c r="J552" s="91">
        <f ca="1">COUNTIF($D551:INDIRECT("$D" &amp;  SUM(ROW()-1,'03.Muestra'!$D$45)-1),J551)</f>
        <v>1</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Normativa electoral</v>
      </c>
      <c r="C553" s="85" t="str" cm="1">
        <f t="array" ref="C553">IFERROR(INDEX('03.Muestra'!$F$8:$F$42,SMALL(IF("Página Web"='03.Muestra'!$D$8:$D$42,ROW('03.Muestra'!$F$8:$F$42)-MIN(ROW('03.Muestra'!$D$8:$D$42))+1,""),ROW()-550)),"")</f>
        <v>https://elecciones.comunidad.madrid/es/informacion-electoral/normativa-electoral</v>
      </c>
      <c r="D553" s="99" t="s">
        <v>184</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Calendario electoral</v>
      </c>
      <c r="C554" s="85" t="str" cm="1">
        <f t="array" ref="C554">IFERROR(INDEX('03.Muestra'!$F$8:$F$42,SMALL(IF("Página Web"='03.Muestra'!$D$8:$D$42,ROW('03.Muestra'!$F$8:$F$42)-MIN(ROW('03.Muestra'!$D$8:$D$42))+1,""),ROW()-550)),"")</f>
        <v>https://elecciones.comunidad.madrid/es/informacion-electoral/calendario-electoral</v>
      </c>
      <c r="D554" s="99" t="s">
        <v>184</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Direcciones y teléfonos</v>
      </c>
      <c r="C555" s="85" t="str" cm="1">
        <f t="array" ref="C555">IFERROR(INDEX('03.Muestra'!$F$8:$F$42,SMALL(IF("Página Web"='03.Muestra'!$D$8:$D$42,ROW('03.Muestra'!$F$8:$F$42)-MIN(ROW('03.Muestra'!$D$8:$D$42))+1,""),ROW()-550)),"")</f>
        <v>https://elecciones.comunidad.madrid/es/juntas-electorales/direcciones-telefonos</v>
      </c>
      <c r="D555" s="99" t="s">
        <v>184</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Impresos electrónicos</v>
      </c>
      <c r="C556" s="85" t="str" cm="1">
        <f t="array" ref="C556">IFERROR(INDEX('03.Muestra'!$F$8:$F$42,SMALL(IF("Página Web"='03.Muestra'!$D$8:$D$42,ROW('03.Muestra'!$F$8:$F$42)-MIN(ROW('03.Muestra'!$D$8:$D$42))+1,""),ROW()-550)),"")</f>
        <v>https://elecciones.comunidad.madrid/es/formaciones-politicas/impresos-electronicos</v>
      </c>
      <c r="D556" s="99" t="s">
        <v>184</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Listado de candidaturas</v>
      </c>
      <c r="C557" s="85" t="str" cm="1">
        <f t="array" ref="C557">IFERROR(INDEX('03.Muestra'!$F$8:$F$42,SMALL(IF("Página Web"='03.Muestra'!$D$8:$D$42,ROW('03.Muestra'!$F$8:$F$42)-MIN(ROW('03.Muestra'!$D$8:$D$42))+1,""),ROW()-550)),"")</f>
        <v>https://elecciones.comunidad.madrid/es/formaciones-politicas/listado-candidaturas-proclamadas</v>
      </c>
      <c r="D557" s="99" t="s">
        <v>184</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Partido Feminista de España</v>
      </c>
      <c r="C558" s="85" t="str" cm="1">
        <f t="array" ref="C558">IFERROR(INDEX('03.Muestra'!$F$8:$F$42,SMALL(IF("Página Web"='03.Muestra'!$D$8:$D$42,ROW('03.Muestra'!$F$8:$F$42)-MIN(ROW('03.Muestra'!$D$8:$D$42))+1,""),ROW()-550)),"")</f>
        <v>https://elecciones.comunidad.madrid/es/formaciones-politicas/listado-candidaturas/partido-feminista-espana</v>
      </c>
      <c r="D558" s="99" t="s">
        <v>184</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¿Dónde voto?</v>
      </c>
      <c r="C559" s="85" t="str" cm="1">
        <f t="array" ref="C559">IFERROR(INDEX('03.Muestra'!$F$8:$F$42,SMALL(IF("Página Web"='03.Muestra'!$D$8:$D$42,ROW('03.Muestra'!$F$8:$F$42)-MIN(ROW('03.Muestra'!$D$8:$D$42))+1,""),ROW()-550)),"")</f>
        <v>https://elecciones.comunidad.madrid/es/votar/donde-voto</v>
      </c>
      <c r="D559" s="99" t="s">
        <v>184</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Voto presencial</v>
      </c>
      <c r="C560" s="85" t="str" cm="1">
        <f t="array" ref="C560">IFERROR(INDEX('03.Muestra'!$F$8:$F$42,SMALL(IF("Página Web"='03.Muestra'!$D$8:$D$42,ROW('03.Muestra'!$F$8:$F$42)-MIN(ROW('03.Muestra'!$D$8:$D$42))+1,""),ROW()-550)),"")</f>
        <v>https://elecciones.comunidad.madrid/es/voto-local-electoral/voto-presencial</v>
      </c>
      <c r="D560" s="99" t="s">
        <v>184</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Ciudadanos temporalmente en el extranjero</v>
      </c>
      <c r="C561" s="85" t="str" cm="1">
        <f t="array" ref="C561">IFERROR(INDEX('03.Muestra'!$F$8:$F$42,SMALL(IF("Página Web"='03.Muestra'!$D$8:$D$42,ROW('03.Muestra'!$F$8:$F$42)-MIN(ROW('03.Muestra'!$D$8:$D$42))+1,""),ROW()-550)),"")</f>
        <v>https://elecciones.comunidad.madrid/es/voto-correo/solicitud-voto-temporalmente-ausentes</v>
      </c>
      <c r="D561" s="99" t="s">
        <v>184</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Nuevo votante</v>
      </c>
      <c r="C562" s="85" t="str" cm="1">
        <f t="array" ref="C562">IFERROR(INDEX('03.Muestra'!$F$8:$F$42,SMALL(IF("Página Web"='03.Muestra'!$D$8:$D$42,ROW('03.Muestra'!$F$8:$F$42)-MIN(ROW('03.Muestra'!$D$8:$D$42))+1,""),ROW()-550)),"")</f>
        <v>https://elecciones.comunidad.madrid/es/votar/nuevo-votante</v>
      </c>
      <c r="D562" s="99" t="s">
        <v>184</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Simulación método D'Hondt</v>
      </c>
      <c r="C563" s="85" t="str" cm="1">
        <f t="array" ref="C563">IFERROR(INDEX('03.Muestra'!$F$8:$F$42,SMALL(IF("Página Web"='03.Muestra'!$D$8:$D$42,ROW('03.Muestra'!$F$8:$F$42)-MIN(ROW('03.Muestra'!$D$8:$D$42))+1,""),ROW()-550)),"")</f>
        <v>https://elecciones.comunidad.madrid/es/informacion-util/simulacion-metodo-dhondt</v>
      </c>
      <c r="D563" s="99" t="s">
        <v>184</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Ley D'Hondt</v>
      </c>
      <c r="C564" s="85" t="str" cm="1">
        <f t="array" ref="C564">IFERROR(INDEX('03.Muestra'!$F$8:$F$42,SMALL(IF("Página Web"='03.Muestra'!$D$8:$D$42,ROW('03.Muestra'!$F$8:$F$42)-MIN(ROW('03.Muestra'!$D$8:$D$42))+1,""),ROW()-550)),"")</f>
        <v>https://elecciones.comunidad.madrid/es/resultados/ley_d_hondt</v>
      </c>
      <c r="D564" s="99" t="s">
        <v>184</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cm="1">
        <f t="array" ref="A565">IFERROR(INDEX('03.Muestra'!$B$8:$B$42,SMALL(IF("Página Web"='03.Muestra'!$D$8:$D$42,ROW('03.Muestra'!$B$8:$B$42)-MIN(ROW('03.Muestra'!$D$8:$D$42))+1,""),ROW()-550)),"")</f>
        <v>15</v>
      </c>
      <c r="B565" s="85" t="str" cm="1">
        <f t="array" ref="B565">IFERROR(INDEX('03.Muestra'!$C$8:$C$42,SMALL(IF("Página Web"='03.Muestra'!$D$8:$D$42,ROW('03.Muestra'!$C$8:$C$42)-MIN(ROW('03.Muestra'!$D$8:$D$42))+1,""),ROW()-550)),"")</f>
        <v>Voto por correo elector CERA en España</v>
      </c>
      <c r="C565" s="85" t="str" cm="1">
        <f t="array" ref="C565">IFERROR(INDEX('03.Muestra'!$F$8:$F$42,SMALL(IF("Página Web"='03.Muestra'!$D$8:$D$42,ROW('03.Muestra'!$F$8:$F$42)-MIN(ROW('03.Muestra'!$D$8:$D$42))+1,""),ROW()-550)),"")</f>
        <v>https://elecciones.comunidad.madrid/es/preguntas-frecuentes/voto-correo-electores-residentes-extranjero</v>
      </c>
      <c r="D565" s="99" t="s">
        <v>184</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cm="1">
        <f t="array" ref="A566">IFERROR(INDEX('03.Muestra'!$B$8:$B$42,SMALL(IF("Página Web"='03.Muestra'!$D$8:$D$42,ROW('03.Muestra'!$B$8:$B$42)-MIN(ROW('03.Muestra'!$D$8:$D$42))+1,""),ROW()-550)),"")</f>
        <v>16</v>
      </c>
      <c r="B566" s="85" t="str" cm="1">
        <f t="array" ref="B566">IFERROR(INDEX('03.Muestra'!$C$8:$C$42,SMALL(IF("Página Web"='03.Muestra'!$D$8:$D$42,ROW('03.Muestra'!$C$8:$C$42)-MIN(ROW('03.Muestra'!$D$8:$D$42))+1,""),ROW()-550)),"")</f>
        <v>Contacto</v>
      </c>
      <c r="C566" s="85" t="str" cm="1">
        <f t="array" ref="C566">IFERROR(INDEX('03.Muestra'!$F$8:$F$42,SMALL(IF("Página Web"='03.Muestra'!$D$8:$D$42,ROW('03.Muestra'!$F$8:$F$42)-MIN(ROW('03.Muestra'!$D$8:$D$42))+1,""),ROW()-550)),"")</f>
        <v>https://elecciones.comunidad.madrid/es/buzon-de-sugerencias</v>
      </c>
      <c r="D566" s="99" t="s">
        <v>184</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cm="1">
        <f t="array" ref="A567">IFERROR(INDEX('03.Muestra'!$B$8:$B$42,SMALL(IF("Página Web"='03.Muestra'!$D$8:$D$42,ROW('03.Muestra'!$B$8:$B$42)-MIN(ROW('03.Muestra'!$D$8:$D$42))+1,""),ROW()-550)),"")</f>
        <v>17</v>
      </c>
      <c r="B567" s="85" t="str" cm="1">
        <f t="array" ref="B567">IFERROR(INDEX('03.Muestra'!$C$8:$C$42,SMALL(IF("Página Web"='03.Muestra'!$D$8:$D$42,ROW('03.Muestra'!$C$8:$C$42)-MIN(ROW('03.Muestra'!$D$8:$D$42))+1,""),ROW()-550)),"")</f>
        <v>Buscador</v>
      </c>
      <c r="C567" s="85" t="str" cm="1">
        <f t="array" ref="C567">IFERROR(INDEX('03.Muestra'!$F$8:$F$42,SMALL(IF("Página Web"='03.Muestra'!$D$8:$D$42,ROW('03.Muestra'!$F$8:$F$42)-MIN(ROW('03.Muestra'!$D$8:$D$42))+1,""),ROW()-550)),"")</f>
        <v>https://elecciones.comunidad.madrid/es/search?search_api_fulltext=partido</v>
      </c>
      <c r="D567" s="99" t="s">
        <v>184</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cm="1">
        <f t="array" ref="A568">IFERROR(INDEX('03.Muestra'!$B$8:$B$42,SMALL(IF("Página Web"='03.Muestra'!$D$8:$D$42,ROW('03.Muestra'!$B$8:$B$42)-MIN(ROW('03.Muestra'!$D$8:$D$42))+1,""),ROW()-550)),"")</f>
        <v>18</v>
      </c>
      <c r="B568" s="85" t="str" cm="1">
        <f t="array" ref="B568">IFERROR(INDEX('03.Muestra'!$C$8:$C$42,SMALL(IF("Página Web"='03.Muestra'!$D$8:$D$42,ROW('03.Muestra'!$C$8:$C$42)-MIN(ROW('03.Muestra'!$D$8:$D$42))+1,""),ROW()-550)),"")</f>
        <v>Aviso Legal-Privacidad</v>
      </c>
      <c r="C568" s="85" t="str" cm="1">
        <f t="array" ref="C568">IFERROR(INDEX('03.Muestra'!$F$8:$F$42,SMALL(IF("Página Web"='03.Muestra'!$D$8:$D$42,ROW('03.Muestra'!$F$8:$F$42)-MIN(ROW('03.Muestra'!$D$8:$D$42))+1,""),ROW()-550)),"")</f>
        <v>https://elecciones.comunidad.madrid/es/aviso-legal</v>
      </c>
      <c r="D568" s="99" t="s">
        <v>184</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cm="1">
        <f t="array" ref="A569">IFERROR(INDEX('03.Muestra'!$B$8:$B$42,SMALL(IF("Página Web"='03.Muestra'!$D$8:$D$42,ROW('03.Muestra'!$B$8:$B$42)-MIN(ROW('03.Muestra'!$D$8:$D$42))+1,""),ROW()-550)),"")</f>
        <v>19</v>
      </c>
      <c r="B569" s="85" t="str" cm="1">
        <f t="array" ref="B569">IFERROR(INDEX('03.Muestra'!$C$8:$C$42,SMALL(IF("Página Web"='03.Muestra'!$D$8:$D$42,ROW('03.Muestra'!$C$8:$C$42)-MIN(ROW('03.Muestra'!$D$8:$D$42))+1,""),ROW()-550)),"")</f>
        <v>Mapa Web</v>
      </c>
      <c r="C569" s="85" t="str" cm="1">
        <f t="array" ref="C569">IFERROR(INDEX('03.Muestra'!$F$8:$F$42,SMALL(IF("Página Web"='03.Muestra'!$D$8:$D$42,ROW('03.Muestra'!$F$8:$F$42)-MIN(ROW('03.Muestra'!$D$8:$D$42))+1,""),ROW()-550)),"")</f>
        <v>https://elecciones.comunidad.madrid/es/sitemap</v>
      </c>
      <c r="D569" s="99" t="s">
        <v>184</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cm="1">
        <f t="array" ref="A570">IFERROR(INDEX('03.Muestra'!$B$8:$B$42,SMALL(IF("Página Web"='03.Muestra'!$D$8:$D$42,ROW('03.Muestra'!$B$8:$B$42)-MIN(ROW('03.Muestra'!$D$8:$D$42))+1,""),ROW()-550)),"")</f>
        <v>20</v>
      </c>
      <c r="B570" s="85" t="str" cm="1">
        <f t="array" ref="B570">IFERROR(INDEX('03.Muestra'!$C$8:$C$42,SMALL(IF("Página Web"='03.Muestra'!$D$8:$D$42,ROW('03.Muestra'!$C$8:$C$42)-MIN(ROW('03.Muestra'!$D$8:$D$42))+1,""),ROW()-550)),"")</f>
        <v>Declaracion Accesibilidad</v>
      </c>
      <c r="C570" s="85" t="str" cm="1">
        <f t="array" ref="C570">IFERROR(INDEX('03.Muestra'!$F$8:$F$42,SMALL(IF("Página Web"='03.Muestra'!$D$8:$D$42,ROW('03.Muestra'!$F$8:$F$42)-MIN(ROW('03.Muestra'!$D$8:$D$42))+1,""),ROW()-550)),"")</f>
        <v>https://elecciones.comunidad.madrid/es/accesibilidad</v>
      </c>
      <c r="D570" s="99" t="s">
        <v>184</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ref="D571:D585" si="29">IF(AND(B571&lt;&gt;"",C571&lt;&gt;""),"N/T","")</f>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181</v>
      </c>
      <c r="B588" s="23" t="s">
        <v>173</v>
      </c>
      <c r="C588" s="24" t="s">
        <v>239</v>
      </c>
      <c r="D588" s="25" t="s">
        <v>183</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https://elecciones.comunidad.madrid/es</v>
      </c>
      <c r="D589" s="99" t="s">
        <v>176</v>
      </c>
      <c r="E589" s="79" t="str">
        <f t="shared" ref="E589:E623" si="30">IF(D589&lt;&gt;"",IF(AND(B589&lt;&gt;"",C589&lt;&gt;""),"","ERR"),"")</f>
        <v/>
      </c>
      <c r="F589" s="86" t="s">
        <v>185</v>
      </c>
      <c r="G589" s="87" t="s">
        <v>186</v>
      </c>
      <c r="H589" s="88" t="s">
        <v>184</v>
      </c>
      <c r="I589" s="89" t="s">
        <v>176</v>
      </c>
      <c r="J589" s="90" t="s">
        <v>174</v>
      </c>
      <c r="K589" s="179" t="s">
        <v>180</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Resultado Elecciones 28M 2023</v>
      </c>
      <c r="C590" s="85" t="str" cm="1">
        <f t="array" ref="C590">IFERROR(INDEX('03.Muestra'!$F$8:$F$42,SMALL(IF("Página Web"='03.Muestra'!$D$8:$D$42,ROW('03.Muestra'!$F$8:$F$42)-MIN(ROW('03.Muestra'!$D$8:$D$42))+1,""),ROW()-588)),"")</f>
        <v>https://elecciones.comunidad.madrid/es/resultados-elecciones-asamblea-madrid-28m-2023</v>
      </c>
      <c r="D590" s="99" t="s">
        <v>176</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20</v>
      </c>
      <c r="J590" s="91">
        <f ca="1">COUNTIF($D589:INDIRECT("$D" &amp;  SUM(ROW()-1,'03.Muestra'!$D$45)-1),J589)</f>
        <v>0</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Normativa electoral</v>
      </c>
      <c r="C591" s="85" t="str" cm="1">
        <f t="array" ref="C591">IFERROR(INDEX('03.Muestra'!$F$8:$F$42,SMALL(IF("Página Web"='03.Muestra'!$D$8:$D$42,ROW('03.Muestra'!$F$8:$F$42)-MIN(ROW('03.Muestra'!$D$8:$D$42))+1,""),ROW()-588)),"")</f>
        <v>https://elecciones.comunidad.madrid/es/informacion-electoral/normativa-electoral</v>
      </c>
      <c r="D591" s="99" t="s">
        <v>176</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Calendario electoral</v>
      </c>
      <c r="C592" s="85" t="str" cm="1">
        <f t="array" ref="C592">IFERROR(INDEX('03.Muestra'!$F$8:$F$42,SMALL(IF("Página Web"='03.Muestra'!$D$8:$D$42,ROW('03.Muestra'!$F$8:$F$42)-MIN(ROW('03.Muestra'!$D$8:$D$42))+1,""),ROW()-588)),"")</f>
        <v>https://elecciones.comunidad.madrid/es/informacion-electoral/calendario-electoral</v>
      </c>
      <c r="D592" s="99" t="s">
        <v>176</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Direcciones y teléfonos</v>
      </c>
      <c r="C593" s="85" t="str" cm="1">
        <f t="array" ref="C593">IFERROR(INDEX('03.Muestra'!$F$8:$F$42,SMALL(IF("Página Web"='03.Muestra'!$D$8:$D$42,ROW('03.Muestra'!$F$8:$F$42)-MIN(ROW('03.Muestra'!$D$8:$D$42))+1,""),ROW()-588)),"")</f>
        <v>https://elecciones.comunidad.madrid/es/juntas-electorales/direcciones-telefonos</v>
      </c>
      <c r="D593" s="99" t="s">
        <v>176</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Impresos electrónicos</v>
      </c>
      <c r="C594" s="85" t="str" cm="1">
        <f t="array" ref="C594">IFERROR(INDEX('03.Muestra'!$F$8:$F$42,SMALL(IF("Página Web"='03.Muestra'!$D$8:$D$42,ROW('03.Muestra'!$F$8:$F$42)-MIN(ROW('03.Muestra'!$D$8:$D$42))+1,""),ROW()-588)),"")</f>
        <v>https://elecciones.comunidad.madrid/es/formaciones-politicas/impresos-electronicos</v>
      </c>
      <c r="D594" s="99" t="s">
        <v>176</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Listado de candidaturas</v>
      </c>
      <c r="C595" s="85" t="str" cm="1">
        <f t="array" ref="C595">IFERROR(INDEX('03.Muestra'!$F$8:$F$42,SMALL(IF("Página Web"='03.Muestra'!$D$8:$D$42,ROW('03.Muestra'!$F$8:$F$42)-MIN(ROW('03.Muestra'!$D$8:$D$42))+1,""),ROW()-588)),"")</f>
        <v>https://elecciones.comunidad.madrid/es/formaciones-politicas/listado-candidaturas-proclamadas</v>
      </c>
      <c r="D595" s="99" t="s">
        <v>176</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Partido Feminista de España</v>
      </c>
      <c r="C596" s="85" t="str" cm="1">
        <f t="array" ref="C596">IFERROR(INDEX('03.Muestra'!$F$8:$F$42,SMALL(IF("Página Web"='03.Muestra'!$D$8:$D$42,ROW('03.Muestra'!$F$8:$F$42)-MIN(ROW('03.Muestra'!$D$8:$D$42))+1,""),ROW()-588)),"")</f>
        <v>https://elecciones.comunidad.madrid/es/formaciones-politicas/listado-candidaturas/partido-feminista-espana</v>
      </c>
      <c r="D596" s="99" t="s">
        <v>176</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¿Dónde voto?</v>
      </c>
      <c r="C597" s="85" t="str" cm="1">
        <f t="array" ref="C597">IFERROR(INDEX('03.Muestra'!$F$8:$F$42,SMALL(IF("Página Web"='03.Muestra'!$D$8:$D$42,ROW('03.Muestra'!$F$8:$F$42)-MIN(ROW('03.Muestra'!$D$8:$D$42))+1,""),ROW()-588)),"")</f>
        <v>https://elecciones.comunidad.madrid/es/votar/donde-voto</v>
      </c>
      <c r="D597" s="99" t="s">
        <v>176</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Voto presencial</v>
      </c>
      <c r="C598" s="85" t="str" cm="1">
        <f t="array" ref="C598">IFERROR(INDEX('03.Muestra'!$F$8:$F$42,SMALL(IF("Página Web"='03.Muestra'!$D$8:$D$42,ROW('03.Muestra'!$F$8:$F$42)-MIN(ROW('03.Muestra'!$D$8:$D$42))+1,""),ROW()-588)),"")</f>
        <v>https://elecciones.comunidad.madrid/es/voto-local-electoral/voto-presencial</v>
      </c>
      <c r="D598" s="99" t="s">
        <v>176</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Ciudadanos temporalmente en el extranjero</v>
      </c>
      <c r="C599" s="85" t="str" cm="1">
        <f t="array" ref="C599">IFERROR(INDEX('03.Muestra'!$F$8:$F$42,SMALL(IF("Página Web"='03.Muestra'!$D$8:$D$42,ROW('03.Muestra'!$F$8:$F$42)-MIN(ROW('03.Muestra'!$D$8:$D$42))+1,""),ROW()-588)),"")</f>
        <v>https://elecciones.comunidad.madrid/es/voto-correo/solicitud-voto-temporalmente-ausentes</v>
      </c>
      <c r="D599" s="99" t="s">
        <v>176</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Nuevo votante</v>
      </c>
      <c r="C600" s="85" t="str" cm="1">
        <f t="array" ref="C600">IFERROR(INDEX('03.Muestra'!$F$8:$F$42,SMALL(IF("Página Web"='03.Muestra'!$D$8:$D$42,ROW('03.Muestra'!$F$8:$F$42)-MIN(ROW('03.Muestra'!$D$8:$D$42))+1,""),ROW()-588)),"")</f>
        <v>https://elecciones.comunidad.madrid/es/votar/nuevo-votante</v>
      </c>
      <c r="D600" s="99" t="s">
        <v>176</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Simulación método D'Hondt</v>
      </c>
      <c r="C601" s="85" t="str" cm="1">
        <f t="array" ref="C601">IFERROR(INDEX('03.Muestra'!$F$8:$F$42,SMALL(IF("Página Web"='03.Muestra'!$D$8:$D$42,ROW('03.Muestra'!$F$8:$F$42)-MIN(ROW('03.Muestra'!$D$8:$D$42))+1,""),ROW()-588)),"")</f>
        <v>https://elecciones.comunidad.madrid/es/informacion-util/simulacion-metodo-dhondt</v>
      </c>
      <c r="D601" s="99" t="s">
        <v>176</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Ley D'Hondt</v>
      </c>
      <c r="C602" s="85" t="str" cm="1">
        <f t="array" ref="C602">IFERROR(INDEX('03.Muestra'!$F$8:$F$42,SMALL(IF("Página Web"='03.Muestra'!$D$8:$D$42,ROW('03.Muestra'!$F$8:$F$42)-MIN(ROW('03.Muestra'!$D$8:$D$42))+1,""),ROW()-588)),"")</f>
        <v>https://elecciones.comunidad.madrid/es/resultados/ley_d_hondt</v>
      </c>
      <c r="D602" s="99" t="s">
        <v>176</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cm="1">
        <f t="array" ref="A603">IFERROR(INDEX('03.Muestra'!$B$8:$B$42,SMALL(IF("Página Web"='03.Muestra'!$D$8:$D$42,ROW('03.Muestra'!$B$8:$B$42)-MIN(ROW('03.Muestra'!$D$8:$D$42))+1,""),ROW()-588)),"")</f>
        <v>15</v>
      </c>
      <c r="B603" s="85" t="str" cm="1">
        <f t="array" ref="B603">IFERROR(INDEX('03.Muestra'!$C$8:$C$42,SMALL(IF("Página Web"='03.Muestra'!$D$8:$D$42,ROW('03.Muestra'!$C$8:$C$42)-MIN(ROW('03.Muestra'!$D$8:$D$42))+1,""),ROW()-588)),"")</f>
        <v>Voto por correo elector CERA en España</v>
      </c>
      <c r="C603" s="85" t="str" cm="1">
        <f t="array" ref="C603">IFERROR(INDEX('03.Muestra'!$F$8:$F$42,SMALL(IF("Página Web"='03.Muestra'!$D$8:$D$42,ROW('03.Muestra'!$F$8:$F$42)-MIN(ROW('03.Muestra'!$D$8:$D$42))+1,""),ROW()-588)),"")</f>
        <v>https://elecciones.comunidad.madrid/es/preguntas-frecuentes/voto-correo-electores-residentes-extranjero</v>
      </c>
      <c r="D603" s="99" t="s">
        <v>176</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cm="1">
        <f t="array" ref="A604">IFERROR(INDEX('03.Muestra'!$B$8:$B$42,SMALL(IF("Página Web"='03.Muestra'!$D$8:$D$42,ROW('03.Muestra'!$B$8:$B$42)-MIN(ROW('03.Muestra'!$D$8:$D$42))+1,""),ROW()-588)),"")</f>
        <v>16</v>
      </c>
      <c r="B604" s="85" t="str" cm="1">
        <f t="array" ref="B604">IFERROR(INDEX('03.Muestra'!$C$8:$C$42,SMALL(IF("Página Web"='03.Muestra'!$D$8:$D$42,ROW('03.Muestra'!$C$8:$C$42)-MIN(ROW('03.Muestra'!$D$8:$D$42))+1,""),ROW()-588)),"")</f>
        <v>Contacto</v>
      </c>
      <c r="C604" s="85" t="str" cm="1">
        <f t="array" ref="C604">IFERROR(INDEX('03.Muestra'!$F$8:$F$42,SMALL(IF("Página Web"='03.Muestra'!$D$8:$D$42,ROW('03.Muestra'!$F$8:$F$42)-MIN(ROW('03.Muestra'!$D$8:$D$42))+1,""),ROW()-588)),"")</f>
        <v>https://elecciones.comunidad.madrid/es/buzon-de-sugerencias</v>
      </c>
      <c r="D604" s="99" t="s">
        <v>176</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cm="1">
        <f t="array" ref="A605">IFERROR(INDEX('03.Muestra'!$B$8:$B$42,SMALL(IF("Página Web"='03.Muestra'!$D$8:$D$42,ROW('03.Muestra'!$B$8:$B$42)-MIN(ROW('03.Muestra'!$D$8:$D$42))+1,""),ROW()-588)),"")</f>
        <v>17</v>
      </c>
      <c r="B605" s="85" t="str" cm="1">
        <f t="array" ref="B605">IFERROR(INDEX('03.Muestra'!$C$8:$C$42,SMALL(IF("Página Web"='03.Muestra'!$D$8:$D$42,ROW('03.Muestra'!$C$8:$C$42)-MIN(ROW('03.Muestra'!$D$8:$D$42))+1,""),ROW()-588)),"")</f>
        <v>Buscador</v>
      </c>
      <c r="C605" s="85" t="str" cm="1">
        <f t="array" ref="C605">IFERROR(INDEX('03.Muestra'!$F$8:$F$42,SMALL(IF("Página Web"='03.Muestra'!$D$8:$D$42,ROW('03.Muestra'!$F$8:$F$42)-MIN(ROW('03.Muestra'!$D$8:$D$42))+1,""),ROW()-588)),"")</f>
        <v>https://elecciones.comunidad.madrid/es/search?search_api_fulltext=partido</v>
      </c>
      <c r="D605" s="99" t="s">
        <v>176</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cm="1">
        <f t="array" ref="A606">IFERROR(INDEX('03.Muestra'!$B$8:$B$42,SMALL(IF("Página Web"='03.Muestra'!$D$8:$D$42,ROW('03.Muestra'!$B$8:$B$42)-MIN(ROW('03.Muestra'!$D$8:$D$42))+1,""),ROW()-588)),"")</f>
        <v>18</v>
      </c>
      <c r="B606" s="85" t="str" cm="1">
        <f t="array" ref="B606">IFERROR(INDEX('03.Muestra'!$C$8:$C$42,SMALL(IF("Página Web"='03.Muestra'!$D$8:$D$42,ROW('03.Muestra'!$C$8:$C$42)-MIN(ROW('03.Muestra'!$D$8:$D$42))+1,""),ROW()-588)),"")</f>
        <v>Aviso Legal-Privacidad</v>
      </c>
      <c r="C606" s="85" t="str" cm="1">
        <f t="array" ref="C606">IFERROR(INDEX('03.Muestra'!$F$8:$F$42,SMALL(IF("Página Web"='03.Muestra'!$D$8:$D$42,ROW('03.Muestra'!$F$8:$F$42)-MIN(ROW('03.Muestra'!$D$8:$D$42))+1,""),ROW()-588)),"")</f>
        <v>https://elecciones.comunidad.madrid/es/aviso-legal</v>
      </c>
      <c r="D606" s="99" t="s">
        <v>176</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cm="1">
        <f t="array" ref="A607">IFERROR(INDEX('03.Muestra'!$B$8:$B$42,SMALL(IF("Página Web"='03.Muestra'!$D$8:$D$42,ROW('03.Muestra'!$B$8:$B$42)-MIN(ROW('03.Muestra'!$D$8:$D$42))+1,""),ROW()-588)),"")</f>
        <v>19</v>
      </c>
      <c r="B607" s="85" t="str" cm="1">
        <f t="array" ref="B607">IFERROR(INDEX('03.Muestra'!$C$8:$C$42,SMALL(IF("Página Web"='03.Muestra'!$D$8:$D$42,ROW('03.Muestra'!$C$8:$C$42)-MIN(ROW('03.Muestra'!$D$8:$D$42))+1,""),ROW()-588)),"")</f>
        <v>Mapa Web</v>
      </c>
      <c r="C607" s="85" t="str" cm="1">
        <f t="array" ref="C607">IFERROR(INDEX('03.Muestra'!$F$8:$F$42,SMALL(IF("Página Web"='03.Muestra'!$D$8:$D$42,ROW('03.Muestra'!$F$8:$F$42)-MIN(ROW('03.Muestra'!$D$8:$D$42))+1,""),ROW()-588)),"")</f>
        <v>https://elecciones.comunidad.madrid/es/sitemap</v>
      </c>
      <c r="D607" s="99" t="s">
        <v>176</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cm="1">
        <f t="array" ref="A608">IFERROR(INDEX('03.Muestra'!$B$8:$B$42,SMALL(IF("Página Web"='03.Muestra'!$D$8:$D$42,ROW('03.Muestra'!$B$8:$B$42)-MIN(ROW('03.Muestra'!$D$8:$D$42))+1,""),ROW()-588)),"")</f>
        <v>20</v>
      </c>
      <c r="B608" s="85" t="str" cm="1">
        <f t="array" ref="B608">IFERROR(INDEX('03.Muestra'!$C$8:$C$42,SMALL(IF("Página Web"='03.Muestra'!$D$8:$D$42,ROW('03.Muestra'!$C$8:$C$42)-MIN(ROW('03.Muestra'!$D$8:$D$42))+1,""),ROW()-588)),"")</f>
        <v>Declaracion Accesibilidad</v>
      </c>
      <c r="C608" s="85" t="str" cm="1">
        <f t="array" ref="C608">IFERROR(INDEX('03.Muestra'!$F$8:$F$42,SMALL(IF("Página Web"='03.Muestra'!$D$8:$D$42,ROW('03.Muestra'!$F$8:$F$42)-MIN(ROW('03.Muestra'!$D$8:$D$42))+1,""),ROW()-588)),"")</f>
        <v>https://elecciones.comunidad.madrid/es/accesibilidad</v>
      </c>
      <c r="D608" s="99" t="s">
        <v>176</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ref="D609:D623" si="31">IF(AND(B609&lt;&gt;"",C609&lt;&gt;""),"N/T","")</f>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181</v>
      </c>
      <c r="B626" s="23" t="s">
        <v>173</v>
      </c>
      <c r="C626" s="24" t="s">
        <v>240</v>
      </c>
      <c r="D626" s="25" t="s">
        <v>183</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https://elecciones.comunidad.madrid/es</v>
      </c>
      <c r="D627" s="99" t="s">
        <v>176</v>
      </c>
      <c r="E627" s="79" t="str">
        <f t="shared" ref="E627:E661" si="32">IF(D627&lt;&gt;"",IF(AND(B627&lt;&gt;"",C627&lt;&gt;""),"","ERR"),"")</f>
        <v/>
      </c>
      <c r="F627" s="86" t="s">
        <v>185</v>
      </c>
      <c r="G627" s="87" t="s">
        <v>186</v>
      </c>
      <c r="H627" s="88" t="s">
        <v>184</v>
      </c>
      <c r="I627" s="89" t="s">
        <v>176</v>
      </c>
      <c r="J627" s="90" t="s">
        <v>174</v>
      </c>
      <c r="K627" s="179" t="s">
        <v>180</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Resultado Elecciones 28M 2023</v>
      </c>
      <c r="C628" s="85" t="str" cm="1">
        <f t="array" ref="C628">IFERROR(INDEX('03.Muestra'!$F$8:$F$42,SMALL(IF("Página Web"='03.Muestra'!$D$8:$D$42,ROW('03.Muestra'!$F$8:$F$42)-MIN(ROW('03.Muestra'!$D$8:$D$42))+1,""),ROW()-626)),"")</f>
        <v>https://elecciones.comunidad.madrid/es/resultados-elecciones-asamblea-madrid-28m-2023</v>
      </c>
      <c r="D628" s="99" t="s">
        <v>176</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20</v>
      </c>
      <c r="J628" s="91">
        <f ca="1">COUNTIF($D627:INDIRECT("$D" &amp;  SUM(ROW()-1,'03.Muestra'!$D$45)-1),J627)</f>
        <v>0</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Normativa electoral</v>
      </c>
      <c r="C629" s="85" t="str" cm="1">
        <f t="array" ref="C629">IFERROR(INDEX('03.Muestra'!$F$8:$F$42,SMALL(IF("Página Web"='03.Muestra'!$D$8:$D$42,ROW('03.Muestra'!$F$8:$F$42)-MIN(ROW('03.Muestra'!$D$8:$D$42))+1,""),ROW()-626)),"")</f>
        <v>https://elecciones.comunidad.madrid/es/informacion-electoral/normativa-electoral</v>
      </c>
      <c r="D629" s="99" t="s">
        <v>176</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Calendario electoral</v>
      </c>
      <c r="C630" s="85" t="str" cm="1">
        <f t="array" ref="C630">IFERROR(INDEX('03.Muestra'!$F$8:$F$42,SMALL(IF("Página Web"='03.Muestra'!$D$8:$D$42,ROW('03.Muestra'!$F$8:$F$42)-MIN(ROW('03.Muestra'!$D$8:$D$42))+1,""),ROW()-626)),"")</f>
        <v>https://elecciones.comunidad.madrid/es/informacion-electoral/calendario-electoral</v>
      </c>
      <c r="D630" s="99" t="s">
        <v>176</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Direcciones y teléfonos</v>
      </c>
      <c r="C631" s="85" t="str" cm="1">
        <f t="array" ref="C631">IFERROR(INDEX('03.Muestra'!$F$8:$F$42,SMALL(IF("Página Web"='03.Muestra'!$D$8:$D$42,ROW('03.Muestra'!$F$8:$F$42)-MIN(ROW('03.Muestra'!$D$8:$D$42))+1,""),ROW()-626)),"")</f>
        <v>https://elecciones.comunidad.madrid/es/juntas-electorales/direcciones-telefonos</v>
      </c>
      <c r="D631" s="99" t="s">
        <v>176</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Impresos electrónicos</v>
      </c>
      <c r="C632" s="85" t="str" cm="1">
        <f t="array" ref="C632">IFERROR(INDEX('03.Muestra'!$F$8:$F$42,SMALL(IF("Página Web"='03.Muestra'!$D$8:$D$42,ROW('03.Muestra'!$F$8:$F$42)-MIN(ROW('03.Muestra'!$D$8:$D$42))+1,""),ROW()-626)),"")</f>
        <v>https://elecciones.comunidad.madrid/es/formaciones-politicas/impresos-electronicos</v>
      </c>
      <c r="D632" s="99" t="s">
        <v>176</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Listado de candidaturas</v>
      </c>
      <c r="C633" s="85" t="str" cm="1">
        <f t="array" ref="C633">IFERROR(INDEX('03.Muestra'!$F$8:$F$42,SMALL(IF("Página Web"='03.Muestra'!$D$8:$D$42,ROW('03.Muestra'!$F$8:$F$42)-MIN(ROW('03.Muestra'!$D$8:$D$42))+1,""),ROW()-626)),"")</f>
        <v>https://elecciones.comunidad.madrid/es/formaciones-politicas/listado-candidaturas-proclamadas</v>
      </c>
      <c r="D633" s="99" t="s">
        <v>176</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Partido Feminista de España</v>
      </c>
      <c r="C634" s="85" t="str" cm="1">
        <f t="array" ref="C634">IFERROR(INDEX('03.Muestra'!$F$8:$F$42,SMALL(IF("Página Web"='03.Muestra'!$D$8:$D$42,ROW('03.Muestra'!$F$8:$F$42)-MIN(ROW('03.Muestra'!$D$8:$D$42))+1,""),ROW()-626)),"")</f>
        <v>https://elecciones.comunidad.madrid/es/formaciones-politicas/listado-candidaturas/partido-feminista-espana</v>
      </c>
      <c r="D634" s="99" t="s">
        <v>176</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¿Dónde voto?</v>
      </c>
      <c r="C635" s="85" t="str" cm="1">
        <f t="array" ref="C635">IFERROR(INDEX('03.Muestra'!$F$8:$F$42,SMALL(IF("Página Web"='03.Muestra'!$D$8:$D$42,ROW('03.Muestra'!$F$8:$F$42)-MIN(ROW('03.Muestra'!$D$8:$D$42))+1,""),ROW()-626)),"")</f>
        <v>https://elecciones.comunidad.madrid/es/votar/donde-voto</v>
      </c>
      <c r="D635" s="99" t="s">
        <v>176</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Voto presencial</v>
      </c>
      <c r="C636" s="85" t="str" cm="1">
        <f t="array" ref="C636">IFERROR(INDEX('03.Muestra'!$F$8:$F$42,SMALL(IF("Página Web"='03.Muestra'!$D$8:$D$42,ROW('03.Muestra'!$F$8:$F$42)-MIN(ROW('03.Muestra'!$D$8:$D$42))+1,""),ROW()-626)),"")</f>
        <v>https://elecciones.comunidad.madrid/es/voto-local-electoral/voto-presencial</v>
      </c>
      <c r="D636" s="99" t="s">
        <v>176</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Ciudadanos temporalmente en el extranjero</v>
      </c>
      <c r="C637" s="85" t="str" cm="1">
        <f t="array" ref="C637">IFERROR(INDEX('03.Muestra'!$F$8:$F$42,SMALL(IF("Página Web"='03.Muestra'!$D$8:$D$42,ROW('03.Muestra'!$F$8:$F$42)-MIN(ROW('03.Muestra'!$D$8:$D$42))+1,""),ROW()-626)),"")</f>
        <v>https://elecciones.comunidad.madrid/es/voto-correo/solicitud-voto-temporalmente-ausentes</v>
      </c>
      <c r="D637" s="99" t="s">
        <v>176</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Nuevo votante</v>
      </c>
      <c r="C638" s="85" t="str" cm="1">
        <f t="array" ref="C638">IFERROR(INDEX('03.Muestra'!$F$8:$F$42,SMALL(IF("Página Web"='03.Muestra'!$D$8:$D$42,ROW('03.Muestra'!$F$8:$F$42)-MIN(ROW('03.Muestra'!$D$8:$D$42))+1,""),ROW()-626)),"")</f>
        <v>https://elecciones.comunidad.madrid/es/votar/nuevo-votante</v>
      </c>
      <c r="D638" s="99" t="s">
        <v>176</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Simulación método D'Hondt</v>
      </c>
      <c r="C639" s="85" t="str" cm="1">
        <f t="array" ref="C639">IFERROR(INDEX('03.Muestra'!$F$8:$F$42,SMALL(IF("Página Web"='03.Muestra'!$D$8:$D$42,ROW('03.Muestra'!$F$8:$F$42)-MIN(ROW('03.Muestra'!$D$8:$D$42))+1,""),ROW()-626)),"")</f>
        <v>https://elecciones.comunidad.madrid/es/informacion-util/simulacion-metodo-dhondt</v>
      </c>
      <c r="D639" s="99" t="s">
        <v>176</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Ley D'Hondt</v>
      </c>
      <c r="C640" s="85" t="str" cm="1">
        <f t="array" ref="C640">IFERROR(INDEX('03.Muestra'!$F$8:$F$42,SMALL(IF("Página Web"='03.Muestra'!$D$8:$D$42,ROW('03.Muestra'!$F$8:$F$42)-MIN(ROW('03.Muestra'!$D$8:$D$42))+1,""),ROW()-626)),"")</f>
        <v>https://elecciones.comunidad.madrid/es/resultados/ley_d_hondt</v>
      </c>
      <c r="D640" s="99" t="s">
        <v>176</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cm="1">
        <f t="array" ref="A641">IFERROR(INDEX('03.Muestra'!$B$8:$B$42,SMALL(IF("Página Web"='03.Muestra'!$D$8:$D$42,ROW('03.Muestra'!$B$8:$B$42)-MIN(ROW('03.Muestra'!$D$8:$D$42))+1,""),ROW()-626)),"")</f>
        <v>15</v>
      </c>
      <c r="B641" s="85" t="str" cm="1">
        <f t="array" ref="B641">IFERROR(INDEX('03.Muestra'!$C$8:$C$42,SMALL(IF("Página Web"='03.Muestra'!$D$8:$D$42,ROW('03.Muestra'!$C$8:$C$42)-MIN(ROW('03.Muestra'!$D$8:$D$42))+1,""),ROW()-626)),"")</f>
        <v>Voto por correo elector CERA en España</v>
      </c>
      <c r="C641" s="85" t="str" cm="1">
        <f t="array" ref="C641">IFERROR(INDEX('03.Muestra'!$F$8:$F$42,SMALL(IF("Página Web"='03.Muestra'!$D$8:$D$42,ROW('03.Muestra'!$F$8:$F$42)-MIN(ROW('03.Muestra'!$D$8:$D$42))+1,""),ROW()-626)),"")</f>
        <v>https://elecciones.comunidad.madrid/es/preguntas-frecuentes/voto-correo-electores-residentes-extranjero</v>
      </c>
      <c r="D641" s="99" t="s">
        <v>176</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cm="1">
        <f t="array" ref="A642">IFERROR(INDEX('03.Muestra'!$B$8:$B$42,SMALL(IF("Página Web"='03.Muestra'!$D$8:$D$42,ROW('03.Muestra'!$B$8:$B$42)-MIN(ROW('03.Muestra'!$D$8:$D$42))+1,""),ROW()-626)),"")</f>
        <v>16</v>
      </c>
      <c r="B642" s="85" t="str" cm="1">
        <f t="array" ref="B642">IFERROR(INDEX('03.Muestra'!$C$8:$C$42,SMALL(IF("Página Web"='03.Muestra'!$D$8:$D$42,ROW('03.Muestra'!$C$8:$C$42)-MIN(ROW('03.Muestra'!$D$8:$D$42))+1,""),ROW()-626)),"")</f>
        <v>Contacto</v>
      </c>
      <c r="C642" s="85" t="str" cm="1">
        <f t="array" ref="C642">IFERROR(INDEX('03.Muestra'!$F$8:$F$42,SMALL(IF("Página Web"='03.Muestra'!$D$8:$D$42,ROW('03.Muestra'!$F$8:$F$42)-MIN(ROW('03.Muestra'!$D$8:$D$42))+1,""),ROW()-626)),"")</f>
        <v>https://elecciones.comunidad.madrid/es/buzon-de-sugerencias</v>
      </c>
      <c r="D642" s="99" t="s">
        <v>176</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cm="1">
        <f t="array" ref="A643">IFERROR(INDEX('03.Muestra'!$B$8:$B$42,SMALL(IF("Página Web"='03.Muestra'!$D$8:$D$42,ROW('03.Muestra'!$B$8:$B$42)-MIN(ROW('03.Muestra'!$D$8:$D$42))+1,""),ROW()-626)),"")</f>
        <v>17</v>
      </c>
      <c r="B643" s="85" t="str" cm="1">
        <f t="array" ref="B643">IFERROR(INDEX('03.Muestra'!$C$8:$C$42,SMALL(IF("Página Web"='03.Muestra'!$D$8:$D$42,ROW('03.Muestra'!$C$8:$C$42)-MIN(ROW('03.Muestra'!$D$8:$D$42))+1,""),ROW()-626)),"")</f>
        <v>Buscador</v>
      </c>
      <c r="C643" s="85" t="str" cm="1">
        <f t="array" ref="C643">IFERROR(INDEX('03.Muestra'!$F$8:$F$42,SMALL(IF("Página Web"='03.Muestra'!$D$8:$D$42,ROW('03.Muestra'!$F$8:$F$42)-MIN(ROW('03.Muestra'!$D$8:$D$42))+1,""),ROW()-626)),"")</f>
        <v>https://elecciones.comunidad.madrid/es/search?search_api_fulltext=partido</v>
      </c>
      <c r="D643" s="99" t="s">
        <v>176</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cm="1">
        <f t="array" ref="A644">IFERROR(INDEX('03.Muestra'!$B$8:$B$42,SMALL(IF("Página Web"='03.Muestra'!$D$8:$D$42,ROW('03.Muestra'!$B$8:$B$42)-MIN(ROW('03.Muestra'!$D$8:$D$42))+1,""),ROW()-626)),"")</f>
        <v>18</v>
      </c>
      <c r="B644" s="85" t="str" cm="1">
        <f t="array" ref="B644">IFERROR(INDEX('03.Muestra'!$C$8:$C$42,SMALL(IF("Página Web"='03.Muestra'!$D$8:$D$42,ROW('03.Muestra'!$C$8:$C$42)-MIN(ROW('03.Muestra'!$D$8:$D$42))+1,""),ROW()-626)),"")</f>
        <v>Aviso Legal-Privacidad</v>
      </c>
      <c r="C644" s="85" t="str" cm="1">
        <f t="array" ref="C644">IFERROR(INDEX('03.Muestra'!$F$8:$F$42,SMALL(IF("Página Web"='03.Muestra'!$D$8:$D$42,ROW('03.Muestra'!$F$8:$F$42)-MIN(ROW('03.Muestra'!$D$8:$D$42))+1,""),ROW()-626)),"")</f>
        <v>https://elecciones.comunidad.madrid/es/aviso-legal</v>
      </c>
      <c r="D644" s="99" t="s">
        <v>176</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cm="1">
        <f t="array" ref="A645">IFERROR(INDEX('03.Muestra'!$B$8:$B$42,SMALL(IF("Página Web"='03.Muestra'!$D$8:$D$42,ROW('03.Muestra'!$B$8:$B$42)-MIN(ROW('03.Muestra'!$D$8:$D$42))+1,""),ROW()-626)),"")</f>
        <v>19</v>
      </c>
      <c r="B645" s="85" t="str" cm="1">
        <f t="array" ref="B645">IFERROR(INDEX('03.Muestra'!$C$8:$C$42,SMALL(IF("Página Web"='03.Muestra'!$D$8:$D$42,ROW('03.Muestra'!$C$8:$C$42)-MIN(ROW('03.Muestra'!$D$8:$D$42))+1,""),ROW()-626)),"")</f>
        <v>Mapa Web</v>
      </c>
      <c r="C645" s="85" t="str" cm="1">
        <f t="array" ref="C645">IFERROR(INDEX('03.Muestra'!$F$8:$F$42,SMALL(IF("Página Web"='03.Muestra'!$D$8:$D$42,ROW('03.Muestra'!$F$8:$F$42)-MIN(ROW('03.Muestra'!$D$8:$D$42))+1,""),ROW()-626)),"")</f>
        <v>https://elecciones.comunidad.madrid/es/sitemap</v>
      </c>
      <c r="D645" s="99" t="s">
        <v>176</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cm="1">
        <f t="array" ref="A646">IFERROR(INDEX('03.Muestra'!$B$8:$B$42,SMALL(IF("Página Web"='03.Muestra'!$D$8:$D$42,ROW('03.Muestra'!$B$8:$B$42)-MIN(ROW('03.Muestra'!$D$8:$D$42))+1,""),ROW()-626)),"")</f>
        <v>20</v>
      </c>
      <c r="B646" s="85" t="str" cm="1">
        <f t="array" ref="B646">IFERROR(INDEX('03.Muestra'!$C$8:$C$42,SMALL(IF("Página Web"='03.Muestra'!$D$8:$D$42,ROW('03.Muestra'!$C$8:$C$42)-MIN(ROW('03.Muestra'!$D$8:$D$42))+1,""),ROW()-626)),"")</f>
        <v>Declaracion Accesibilidad</v>
      </c>
      <c r="C646" s="85" t="str" cm="1">
        <f t="array" ref="C646">IFERROR(INDEX('03.Muestra'!$F$8:$F$42,SMALL(IF("Página Web"='03.Muestra'!$D$8:$D$42,ROW('03.Muestra'!$F$8:$F$42)-MIN(ROW('03.Muestra'!$D$8:$D$42))+1,""),ROW()-626)),"")</f>
        <v>https://elecciones.comunidad.madrid/es/accesibilidad</v>
      </c>
      <c r="D646" s="99" t="s">
        <v>176</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ref="D647:D661" si="33">IF(AND(B647&lt;&gt;"",C647&lt;&gt;""),"N/T","")</f>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181</v>
      </c>
      <c r="B664" s="23" t="s">
        <v>173</v>
      </c>
      <c r="C664" s="24" t="s">
        <v>241</v>
      </c>
      <c r="D664" s="25" t="s">
        <v>183</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https://elecciones.comunidad.madrid/es</v>
      </c>
      <c r="D665" s="99" t="s">
        <v>174</v>
      </c>
      <c r="E665" s="79" t="str">
        <f t="shared" ref="E665:E699" si="34">IF(D665&lt;&gt;"",IF(AND(B665&lt;&gt;"",C665&lt;&gt;""),"","ERR"),"")</f>
        <v/>
      </c>
      <c r="F665" s="86" t="s">
        <v>185</v>
      </c>
      <c r="G665" s="87" t="s">
        <v>186</v>
      </c>
      <c r="H665" s="88" t="s">
        <v>184</v>
      </c>
      <c r="I665" s="89" t="s">
        <v>176</v>
      </c>
      <c r="J665" s="90" t="s">
        <v>174</v>
      </c>
      <c r="K665" s="179" t="s">
        <v>180</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Resultado Elecciones 28M 2023</v>
      </c>
      <c r="C666" s="85" t="str" cm="1">
        <f t="array" ref="C666">IFERROR(INDEX('03.Muestra'!$F$8:$F$42,SMALL(IF("Página Web"='03.Muestra'!$D$8:$D$42,ROW('03.Muestra'!$F$8:$F$42)-MIN(ROW('03.Muestra'!$D$8:$D$42))+1,""),ROW()-664)),"")</f>
        <v>https://elecciones.comunidad.madrid/es/resultados-elecciones-asamblea-madrid-28m-2023</v>
      </c>
      <c r="D666" s="99" t="s">
        <v>174</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20</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Normativa electoral</v>
      </c>
      <c r="C667" s="85" t="str" cm="1">
        <f t="array" ref="C667">IFERROR(INDEX('03.Muestra'!$F$8:$F$42,SMALL(IF("Página Web"='03.Muestra'!$D$8:$D$42,ROW('03.Muestra'!$F$8:$F$42)-MIN(ROW('03.Muestra'!$D$8:$D$42))+1,""),ROW()-664)),"")</f>
        <v>https://elecciones.comunidad.madrid/es/informacion-electoral/normativa-electoral</v>
      </c>
      <c r="D667" s="99" t="s">
        <v>174</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Calendario electoral</v>
      </c>
      <c r="C668" s="85" t="str" cm="1">
        <f t="array" ref="C668">IFERROR(INDEX('03.Muestra'!$F$8:$F$42,SMALL(IF("Página Web"='03.Muestra'!$D$8:$D$42,ROW('03.Muestra'!$F$8:$F$42)-MIN(ROW('03.Muestra'!$D$8:$D$42))+1,""),ROW()-664)),"")</f>
        <v>https://elecciones.comunidad.madrid/es/informacion-electoral/calendario-electoral</v>
      </c>
      <c r="D668" s="99" t="s">
        <v>174</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Direcciones y teléfonos</v>
      </c>
      <c r="C669" s="85" t="str" cm="1">
        <f t="array" ref="C669">IFERROR(INDEX('03.Muestra'!$F$8:$F$42,SMALL(IF("Página Web"='03.Muestra'!$D$8:$D$42,ROW('03.Muestra'!$F$8:$F$42)-MIN(ROW('03.Muestra'!$D$8:$D$42))+1,""),ROW()-664)),"")</f>
        <v>https://elecciones.comunidad.madrid/es/juntas-electorales/direcciones-telefonos</v>
      </c>
      <c r="D669" s="99" t="s">
        <v>174</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Impresos electrónicos</v>
      </c>
      <c r="C670" s="85" t="str" cm="1">
        <f t="array" ref="C670">IFERROR(INDEX('03.Muestra'!$F$8:$F$42,SMALL(IF("Página Web"='03.Muestra'!$D$8:$D$42,ROW('03.Muestra'!$F$8:$F$42)-MIN(ROW('03.Muestra'!$D$8:$D$42))+1,""),ROW()-664)),"")</f>
        <v>https://elecciones.comunidad.madrid/es/formaciones-politicas/impresos-electronicos</v>
      </c>
      <c r="D670" s="99" t="s">
        <v>174</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Listado de candidaturas</v>
      </c>
      <c r="C671" s="85" t="str" cm="1">
        <f t="array" ref="C671">IFERROR(INDEX('03.Muestra'!$F$8:$F$42,SMALL(IF("Página Web"='03.Muestra'!$D$8:$D$42,ROW('03.Muestra'!$F$8:$F$42)-MIN(ROW('03.Muestra'!$D$8:$D$42))+1,""),ROW()-664)),"")</f>
        <v>https://elecciones.comunidad.madrid/es/formaciones-politicas/listado-candidaturas-proclamadas</v>
      </c>
      <c r="D671" s="99" t="s">
        <v>174</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Partido Feminista de España</v>
      </c>
      <c r="C672" s="85" t="str" cm="1">
        <f t="array" ref="C672">IFERROR(INDEX('03.Muestra'!$F$8:$F$42,SMALL(IF("Página Web"='03.Muestra'!$D$8:$D$42,ROW('03.Muestra'!$F$8:$F$42)-MIN(ROW('03.Muestra'!$D$8:$D$42))+1,""),ROW()-664)),"")</f>
        <v>https://elecciones.comunidad.madrid/es/formaciones-politicas/listado-candidaturas/partido-feminista-espana</v>
      </c>
      <c r="D672" s="99" t="s">
        <v>174</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¿Dónde voto?</v>
      </c>
      <c r="C673" s="85" t="str" cm="1">
        <f t="array" ref="C673">IFERROR(INDEX('03.Muestra'!$F$8:$F$42,SMALL(IF("Página Web"='03.Muestra'!$D$8:$D$42,ROW('03.Muestra'!$F$8:$F$42)-MIN(ROW('03.Muestra'!$D$8:$D$42))+1,""),ROW()-664)),"")</f>
        <v>https://elecciones.comunidad.madrid/es/votar/donde-voto</v>
      </c>
      <c r="D673" s="99" t="s">
        <v>174</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Voto presencial</v>
      </c>
      <c r="C674" s="85" t="str" cm="1">
        <f t="array" ref="C674">IFERROR(INDEX('03.Muestra'!$F$8:$F$42,SMALL(IF("Página Web"='03.Muestra'!$D$8:$D$42,ROW('03.Muestra'!$F$8:$F$42)-MIN(ROW('03.Muestra'!$D$8:$D$42))+1,""),ROW()-664)),"")</f>
        <v>https://elecciones.comunidad.madrid/es/voto-local-electoral/voto-presencial</v>
      </c>
      <c r="D674" s="99" t="s">
        <v>174</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Ciudadanos temporalmente en el extranjero</v>
      </c>
      <c r="C675" s="85" t="str" cm="1">
        <f t="array" ref="C675">IFERROR(INDEX('03.Muestra'!$F$8:$F$42,SMALL(IF("Página Web"='03.Muestra'!$D$8:$D$42,ROW('03.Muestra'!$F$8:$F$42)-MIN(ROW('03.Muestra'!$D$8:$D$42))+1,""),ROW()-664)),"")</f>
        <v>https://elecciones.comunidad.madrid/es/voto-correo/solicitud-voto-temporalmente-ausentes</v>
      </c>
      <c r="D675" s="99" t="s">
        <v>174</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Nuevo votante</v>
      </c>
      <c r="C676" s="85" t="str" cm="1">
        <f t="array" ref="C676">IFERROR(INDEX('03.Muestra'!$F$8:$F$42,SMALL(IF("Página Web"='03.Muestra'!$D$8:$D$42,ROW('03.Muestra'!$F$8:$F$42)-MIN(ROW('03.Muestra'!$D$8:$D$42))+1,""),ROW()-664)),"")</f>
        <v>https://elecciones.comunidad.madrid/es/votar/nuevo-votante</v>
      </c>
      <c r="D676" s="99" t="s">
        <v>174</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Simulación método D'Hondt</v>
      </c>
      <c r="C677" s="85" t="str" cm="1">
        <f t="array" ref="C677">IFERROR(INDEX('03.Muestra'!$F$8:$F$42,SMALL(IF("Página Web"='03.Muestra'!$D$8:$D$42,ROW('03.Muestra'!$F$8:$F$42)-MIN(ROW('03.Muestra'!$D$8:$D$42))+1,""),ROW()-664)),"")</f>
        <v>https://elecciones.comunidad.madrid/es/informacion-util/simulacion-metodo-dhondt</v>
      </c>
      <c r="D677" s="99" t="s">
        <v>174</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Ley D'Hondt</v>
      </c>
      <c r="C678" s="85" t="str" cm="1">
        <f t="array" ref="C678">IFERROR(INDEX('03.Muestra'!$F$8:$F$42,SMALL(IF("Página Web"='03.Muestra'!$D$8:$D$42,ROW('03.Muestra'!$F$8:$F$42)-MIN(ROW('03.Muestra'!$D$8:$D$42))+1,""),ROW()-664)),"")</f>
        <v>https://elecciones.comunidad.madrid/es/resultados/ley_d_hondt</v>
      </c>
      <c r="D678" s="99" t="s">
        <v>174</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cm="1">
        <f t="array" ref="A679">IFERROR(INDEX('03.Muestra'!$B$8:$B$42,SMALL(IF("Página Web"='03.Muestra'!$D$8:$D$42,ROW('03.Muestra'!$B$8:$B$42)-MIN(ROW('03.Muestra'!$D$8:$D$42))+1,""),ROW()-664)),"")</f>
        <v>15</v>
      </c>
      <c r="B679" s="85" t="str" cm="1">
        <f t="array" ref="B679">IFERROR(INDEX('03.Muestra'!$C$8:$C$42,SMALL(IF("Página Web"='03.Muestra'!$D$8:$D$42,ROW('03.Muestra'!$C$8:$C$42)-MIN(ROW('03.Muestra'!$D$8:$D$42))+1,""),ROW()-664)),"")</f>
        <v>Voto por correo elector CERA en España</v>
      </c>
      <c r="C679" s="85" t="str" cm="1">
        <f t="array" ref="C679">IFERROR(INDEX('03.Muestra'!$F$8:$F$42,SMALL(IF("Página Web"='03.Muestra'!$D$8:$D$42,ROW('03.Muestra'!$F$8:$F$42)-MIN(ROW('03.Muestra'!$D$8:$D$42))+1,""),ROW()-664)),"")</f>
        <v>https://elecciones.comunidad.madrid/es/preguntas-frecuentes/voto-correo-electores-residentes-extranjero</v>
      </c>
      <c r="D679" s="99" t="s">
        <v>174</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cm="1">
        <f t="array" ref="A680">IFERROR(INDEX('03.Muestra'!$B$8:$B$42,SMALL(IF("Página Web"='03.Muestra'!$D$8:$D$42,ROW('03.Muestra'!$B$8:$B$42)-MIN(ROW('03.Muestra'!$D$8:$D$42))+1,""),ROW()-664)),"")</f>
        <v>16</v>
      </c>
      <c r="B680" s="85" t="str" cm="1">
        <f t="array" ref="B680">IFERROR(INDEX('03.Muestra'!$C$8:$C$42,SMALL(IF("Página Web"='03.Muestra'!$D$8:$D$42,ROW('03.Muestra'!$C$8:$C$42)-MIN(ROW('03.Muestra'!$D$8:$D$42))+1,""),ROW()-664)),"")</f>
        <v>Contacto</v>
      </c>
      <c r="C680" s="85" t="str" cm="1">
        <f t="array" ref="C680">IFERROR(INDEX('03.Muestra'!$F$8:$F$42,SMALL(IF("Página Web"='03.Muestra'!$D$8:$D$42,ROW('03.Muestra'!$F$8:$F$42)-MIN(ROW('03.Muestra'!$D$8:$D$42))+1,""),ROW()-664)),"")</f>
        <v>https://elecciones.comunidad.madrid/es/buzon-de-sugerencias</v>
      </c>
      <c r="D680" s="99" t="s">
        <v>174</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cm="1">
        <f t="array" ref="A681">IFERROR(INDEX('03.Muestra'!$B$8:$B$42,SMALL(IF("Página Web"='03.Muestra'!$D$8:$D$42,ROW('03.Muestra'!$B$8:$B$42)-MIN(ROW('03.Muestra'!$D$8:$D$42))+1,""),ROW()-664)),"")</f>
        <v>17</v>
      </c>
      <c r="B681" s="85" t="str" cm="1">
        <f t="array" ref="B681">IFERROR(INDEX('03.Muestra'!$C$8:$C$42,SMALL(IF("Página Web"='03.Muestra'!$D$8:$D$42,ROW('03.Muestra'!$C$8:$C$42)-MIN(ROW('03.Muestra'!$D$8:$D$42))+1,""),ROW()-664)),"")</f>
        <v>Buscador</v>
      </c>
      <c r="C681" s="85" t="str" cm="1">
        <f t="array" ref="C681">IFERROR(INDEX('03.Muestra'!$F$8:$F$42,SMALL(IF("Página Web"='03.Muestra'!$D$8:$D$42,ROW('03.Muestra'!$F$8:$F$42)-MIN(ROW('03.Muestra'!$D$8:$D$42))+1,""),ROW()-664)),"")</f>
        <v>https://elecciones.comunidad.madrid/es/search?search_api_fulltext=partido</v>
      </c>
      <c r="D681" s="99" t="s">
        <v>174</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cm="1">
        <f t="array" ref="A682">IFERROR(INDEX('03.Muestra'!$B$8:$B$42,SMALL(IF("Página Web"='03.Muestra'!$D$8:$D$42,ROW('03.Muestra'!$B$8:$B$42)-MIN(ROW('03.Muestra'!$D$8:$D$42))+1,""),ROW()-664)),"")</f>
        <v>18</v>
      </c>
      <c r="B682" s="85" t="str" cm="1">
        <f t="array" ref="B682">IFERROR(INDEX('03.Muestra'!$C$8:$C$42,SMALL(IF("Página Web"='03.Muestra'!$D$8:$D$42,ROW('03.Muestra'!$C$8:$C$42)-MIN(ROW('03.Muestra'!$D$8:$D$42))+1,""),ROW()-664)),"")</f>
        <v>Aviso Legal-Privacidad</v>
      </c>
      <c r="C682" s="85" t="str" cm="1">
        <f t="array" ref="C682">IFERROR(INDEX('03.Muestra'!$F$8:$F$42,SMALL(IF("Página Web"='03.Muestra'!$D$8:$D$42,ROW('03.Muestra'!$F$8:$F$42)-MIN(ROW('03.Muestra'!$D$8:$D$42))+1,""),ROW()-664)),"")</f>
        <v>https://elecciones.comunidad.madrid/es/aviso-legal</v>
      </c>
      <c r="D682" s="99" t="s">
        <v>174</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cm="1">
        <f t="array" ref="A683">IFERROR(INDEX('03.Muestra'!$B$8:$B$42,SMALL(IF("Página Web"='03.Muestra'!$D$8:$D$42,ROW('03.Muestra'!$B$8:$B$42)-MIN(ROW('03.Muestra'!$D$8:$D$42))+1,""),ROW()-664)),"")</f>
        <v>19</v>
      </c>
      <c r="B683" s="85" t="str" cm="1">
        <f t="array" ref="B683">IFERROR(INDEX('03.Muestra'!$C$8:$C$42,SMALL(IF("Página Web"='03.Muestra'!$D$8:$D$42,ROW('03.Muestra'!$C$8:$C$42)-MIN(ROW('03.Muestra'!$D$8:$D$42))+1,""),ROW()-664)),"")</f>
        <v>Mapa Web</v>
      </c>
      <c r="C683" s="85" t="str" cm="1">
        <f t="array" ref="C683">IFERROR(INDEX('03.Muestra'!$F$8:$F$42,SMALL(IF("Página Web"='03.Muestra'!$D$8:$D$42,ROW('03.Muestra'!$F$8:$F$42)-MIN(ROW('03.Muestra'!$D$8:$D$42))+1,""),ROW()-664)),"")</f>
        <v>https://elecciones.comunidad.madrid/es/sitemap</v>
      </c>
      <c r="D683" s="99" t="s">
        <v>174</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cm="1">
        <f t="array" ref="A684">IFERROR(INDEX('03.Muestra'!$B$8:$B$42,SMALL(IF("Página Web"='03.Muestra'!$D$8:$D$42,ROW('03.Muestra'!$B$8:$B$42)-MIN(ROW('03.Muestra'!$D$8:$D$42))+1,""),ROW()-664)),"")</f>
        <v>20</v>
      </c>
      <c r="B684" s="85" t="str" cm="1">
        <f t="array" ref="B684">IFERROR(INDEX('03.Muestra'!$C$8:$C$42,SMALL(IF("Página Web"='03.Muestra'!$D$8:$D$42,ROW('03.Muestra'!$C$8:$C$42)-MIN(ROW('03.Muestra'!$D$8:$D$42))+1,""),ROW()-664)),"")</f>
        <v>Declaracion Accesibilidad</v>
      </c>
      <c r="C684" s="85" t="str" cm="1">
        <f t="array" ref="C684">IFERROR(INDEX('03.Muestra'!$F$8:$F$42,SMALL(IF("Página Web"='03.Muestra'!$D$8:$D$42,ROW('03.Muestra'!$F$8:$F$42)-MIN(ROW('03.Muestra'!$D$8:$D$42))+1,""),ROW()-664)),"")</f>
        <v>https://elecciones.comunidad.madrid/es/accesibilidad</v>
      </c>
      <c r="D684" s="99" t="s">
        <v>174</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ref="D685:D699" si="35">IF(AND(B685&lt;&gt;"",C685&lt;&gt;""),"N/T","")</f>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181</v>
      </c>
      <c r="B702" s="23" t="s">
        <v>173</v>
      </c>
      <c r="C702" s="24" t="s">
        <v>242</v>
      </c>
      <c r="D702" s="25" t="s">
        <v>183</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https://elecciones.comunidad.madrid/es</v>
      </c>
      <c r="D703" s="99" t="s">
        <v>176</v>
      </c>
      <c r="E703" s="79" t="str">
        <f t="shared" ref="E703:E737" si="36">IF(D703&lt;&gt;"",IF(AND(B703&lt;&gt;"",C703&lt;&gt;""),"","ERR"),"")</f>
        <v/>
      </c>
      <c r="F703" s="86" t="s">
        <v>185</v>
      </c>
      <c r="G703" s="87" t="s">
        <v>186</v>
      </c>
      <c r="H703" s="88" t="s">
        <v>184</v>
      </c>
      <c r="I703" s="89" t="s">
        <v>176</v>
      </c>
      <c r="J703" s="90" t="s">
        <v>174</v>
      </c>
      <c r="K703" s="179" t="s">
        <v>180</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Resultado Elecciones 28M 2023</v>
      </c>
      <c r="C704" s="85" t="str" cm="1">
        <f t="array" ref="C704">IFERROR(INDEX('03.Muestra'!$F$8:$F$42,SMALL(IF("Página Web"='03.Muestra'!$D$8:$D$42,ROW('03.Muestra'!$F$8:$F$42)-MIN(ROW('03.Muestra'!$D$8:$D$42))+1,""),ROW()-702)),"")</f>
        <v>https://elecciones.comunidad.madrid/es/resultados-elecciones-asamblea-madrid-28m-2023</v>
      </c>
      <c r="D704" s="99" t="s">
        <v>176</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20</v>
      </c>
      <c r="J704" s="91">
        <f ca="1">COUNTIF($D703:INDIRECT("$D" &amp;  SUM(ROW()-1,'03.Muestra'!$D$45)-1),J703)</f>
        <v>0</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Normativa electoral</v>
      </c>
      <c r="C705" s="85" t="str" cm="1">
        <f t="array" ref="C705">IFERROR(INDEX('03.Muestra'!$F$8:$F$42,SMALL(IF("Página Web"='03.Muestra'!$D$8:$D$42,ROW('03.Muestra'!$F$8:$F$42)-MIN(ROW('03.Muestra'!$D$8:$D$42))+1,""),ROW()-702)),"")</f>
        <v>https://elecciones.comunidad.madrid/es/informacion-electoral/normativa-electoral</v>
      </c>
      <c r="D705" s="99" t="s">
        <v>176</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Calendario electoral</v>
      </c>
      <c r="C706" s="85" t="str" cm="1">
        <f t="array" ref="C706">IFERROR(INDEX('03.Muestra'!$F$8:$F$42,SMALL(IF("Página Web"='03.Muestra'!$D$8:$D$42,ROW('03.Muestra'!$F$8:$F$42)-MIN(ROW('03.Muestra'!$D$8:$D$42))+1,""),ROW()-702)),"")</f>
        <v>https://elecciones.comunidad.madrid/es/informacion-electoral/calendario-electoral</v>
      </c>
      <c r="D706" s="99" t="s">
        <v>176</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Direcciones y teléfonos</v>
      </c>
      <c r="C707" s="85" t="str" cm="1">
        <f t="array" ref="C707">IFERROR(INDEX('03.Muestra'!$F$8:$F$42,SMALL(IF("Página Web"='03.Muestra'!$D$8:$D$42,ROW('03.Muestra'!$F$8:$F$42)-MIN(ROW('03.Muestra'!$D$8:$D$42))+1,""),ROW()-702)),"")</f>
        <v>https://elecciones.comunidad.madrid/es/juntas-electorales/direcciones-telefonos</v>
      </c>
      <c r="D707" s="99" t="s">
        <v>176</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Impresos electrónicos</v>
      </c>
      <c r="C708" s="85" t="str" cm="1">
        <f t="array" ref="C708">IFERROR(INDEX('03.Muestra'!$F$8:$F$42,SMALL(IF("Página Web"='03.Muestra'!$D$8:$D$42,ROW('03.Muestra'!$F$8:$F$42)-MIN(ROW('03.Muestra'!$D$8:$D$42))+1,""),ROW()-702)),"")</f>
        <v>https://elecciones.comunidad.madrid/es/formaciones-politicas/impresos-electronicos</v>
      </c>
      <c r="D708" s="99" t="s">
        <v>176</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Listado de candidaturas</v>
      </c>
      <c r="C709" s="85" t="str" cm="1">
        <f t="array" ref="C709">IFERROR(INDEX('03.Muestra'!$F$8:$F$42,SMALL(IF("Página Web"='03.Muestra'!$D$8:$D$42,ROW('03.Muestra'!$F$8:$F$42)-MIN(ROW('03.Muestra'!$D$8:$D$42))+1,""),ROW()-702)),"")</f>
        <v>https://elecciones.comunidad.madrid/es/formaciones-politicas/listado-candidaturas-proclamadas</v>
      </c>
      <c r="D709" s="99" t="s">
        <v>176</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Partido Feminista de España</v>
      </c>
      <c r="C710" s="85" t="str" cm="1">
        <f t="array" ref="C710">IFERROR(INDEX('03.Muestra'!$F$8:$F$42,SMALL(IF("Página Web"='03.Muestra'!$D$8:$D$42,ROW('03.Muestra'!$F$8:$F$42)-MIN(ROW('03.Muestra'!$D$8:$D$42))+1,""),ROW()-702)),"")</f>
        <v>https://elecciones.comunidad.madrid/es/formaciones-politicas/listado-candidaturas/partido-feminista-espana</v>
      </c>
      <c r="D710" s="99" t="s">
        <v>176</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¿Dónde voto?</v>
      </c>
      <c r="C711" s="85" t="str" cm="1">
        <f t="array" ref="C711">IFERROR(INDEX('03.Muestra'!$F$8:$F$42,SMALL(IF("Página Web"='03.Muestra'!$D$8:$D$42,ROW('03.Muestra'!$F$8:$F$42)-MIN(ROW('03.Muestra'!$D$8:$D$42))+1,""),ROW()-702)),"")</f>
        <v>https://elecciones.comunidad.madrid/es/votar/donde-voto</v>
      </c>
      <c r="D711" s="99" t="s">
        <v>176</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Voto presencial</v>
      </c>
      <c r="C712" s="85" t="str" cm="1">
        <f t="array" ref="C712">IFERROR(INDEX('03.Muestra'!$F$8:$F$42,SMALL(IF("Página Web"='03.Muestra'!$D$8:$D$42,ROW('03.Muestra'!$F$8:$F$42)-MIN(ROW('03.Muestra'!$D$8:$D$42))+1,""),ROW()-702)),"")</f>
        <v>https://elecciones.comunidad.madrid/es/voto-local-electoral/voto-presencial</v>
      </c>
      <c r="D712" s="99" t="s">
        <v>176</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Ciudadanos temporalmente en el extranjero</v>
      </c>
      <c r="C713" s="85" t="str" cm="1">
        <f t="array" ref="C713">IFERROR(INDEX('03.Muestra'!$F$8:$F$42,SMALL(IF("Página Web"='03.Muestra'!$D$8:$D$42,ROW('03.Muestra'!$F$8:$F$42)-MIN(ROW('03.Muestra'!$D$8:$D$42))+1,""),ROW()-702)),"")</f>
        <v>https://elecciones.comunidad.madrid/es/voto-correo/solicitud-voto-temporalmente-ausentes</v>
      </c>
      <c r="D713" s="99" t="s">
        <v>176</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Nuevo votante</v>
      </c>
      <c r="C714" s="85" t="str" cm="1">
        <f t="array" ref="C714">IFERROR(INDEX('03.Muestra'!$F$8:$F$42,SMALL(IF("Página Web"='03.Muestra'!$D$8:$D$42,ROW('03.Muestra'!$F$8:$F$42)-MIN(ROW('03.Muestra'!$D$8:$D$42))+1,""),ROW()-702)),"")</f>
        <v>https://elecciones.comunidad.madrid/es/votar/nuevo-votante</v>
      </c>
      <c r="D714" s="99" t="s">
        <v>176</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Simulación método D'Hondt</v>
      </c>
      <c r="C715" s="85" t="str" cm="1">
        <f t="array" ref="C715">IFERROR(INDEX('03.Muestra'!$F$8:$F$42,SMALL(IF("Página Web"='03.Muestra'!$D$8:$D$42,ROW('03.Muestra'!$F$8:$F$42)-MIN(ROW('03.Muestra'!$D$8:$D$42))+1,""),ROW()-702)),"")</f>
        <v>https://elecciones.comunidad.madrid/es/informacion-util/simulacion-metodo-dhondt</v>
      </c>
      <c r="D715" s="99" t="s">
        <v>176</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Ley D'Hondt</v>
      </c>
      <c r="C716" s="85" t="str" cm="1">
        <f t="array" ref="C716">IFERROR(INDEX('03.Muestra'!$F$8:$F$42,SMALL(IF("Página Web"='03.Muestra'!$D$8:$D$42,ROW('03.Muestra'!$F$8:$F$42)-MIN(ROW('03.Muestra'!$D$8:$D$42))+1,""),ROW()-702)),"")</f>
        <v>https://elecciones.comunidad.madrid/es/resultados/ley_d_hondt</v>
      </c>
      <c r="D716" s="99" t="s">
        <v>176</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cm="1">
        <f t="array" ref="A717">IFERROR(INDEX('03.Muestra'!$B$8:$B$42,SMALL(IF("Página Web"='03.Muestra'!$D$8:$D$42,ROW('03.Muestra'!$B$8:$B$42)-MIN(ROW('03.Muestra'!$D$8:$D$42))+1,""),ROW()-702)),"")</f>
        <v>15</v>
      </c>
      <c r="B717" s="85" t="str" cm="1">
        <f t="array" ref="B717">IFERROR(INDEX('03.Muestra'!$C$8:$C$42,SMALL(IF("Página Web"='03.Muestra'!$D$8:$D$42,ROW('03.Muestra'!$C$8:$C$42)-MIN(ROW('03.Muestra'!$D$8:$D$42))+1,""),ROW()-702)),"")</f>
        <v>Voto por correo elector CERA en España</v>
      </c>
      <c r="C717" s="85" t="str" cm="1">
        <f t="array" ref="C717">IFERROR(INDEX('03.Muestra'!$F$8:$F$42,SMALL(IF("Página Web"='03.Muestra'!$D$8:$D$42,ROW('03.Muestra'!$F$8:$F$42)-MIN(ROW('03.Muestra'!$D$8:$D$42))+1,""),ROW()-702)),"")</f>
        <v>https://elecciones.comunidad.madrid/es/preguntas-frecuentes/voto-correo-electores-residentes-extranjero</v>
      </c>
      <c r="D717" s="99" t="s">
        <v>176</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cm="1">
        <f t="array" ref="A718">IFERROR(INDEX('03.Muestra'!$B$8:$B$42,SMALL(IF("Página Web"='03.Muestra'!$D$8:$D$42,ROW('03.Muestra'!$B$8:$B$42)-MIN(ROW('03.Muestra'!$D$8:$D$42))+1,""),ROW()-702)),"")</f>
        <v>16</v>
      </c>
      <c r="B718" s="85" t="str" cm="1">
        <f t="array" ref="B718">IFERROR(INDEX('03.Muestra'!$C$8:$C$42,SMALL(IF("Página Web"='03.Muestra'!$D$8:$D$42,ROW('03.Muestra'!$C$8:$C$42)-MIN(ROW('03.Muestra'!$D$8:$D$42))+1,""),ROW()-702)),"")</f>
        <v>Contacto</v>
      </c>
      <c r="C718" s="85" t="str" cm="1">
        <f t="array" ref="C718">IFERROR(INDEX('03.Muestra'!$F$8:$F$42,SMALL(IF("Página Web"='03.Muestra'!$D$8:$D$42,ROW('03.Muestra'!$F$8:$F$42)-MIN(ROW('03.Muestra'!$D$8:$D$42))+1,""),ROW()-702)),"")</f>
        <v>https://elecciones.comunidad.madrid/es/buzon-de-sugerencias</v>
      </c>
      <c r="D718" s="99" t="s">
        <v>176</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cm="1">
        <f t="array" ref="A719">IFERROR(INDEX('03.Muestra'!$B$8:$B$42,SMALL(IF("Página Web"='03.Muestra'!$D$8:$D$42,ROW('03.Muestra'!$B$8:$B$42)-MIN(ROW('03.Muestra'!$D$8:$D$42))+1,""),ROW()-702)),"")</f>
        <v>17</v>
      </c>
      <c r="B719" s="85" t="str" cm="1">
        <f t="array" ref="B719">IFERROR(INDEX('03.Muestra'!$C$8:$C$42,SMALL(IF("Página Web"='03.Muestra'!$D$8:$D$42,ROW('03.Muestra'!$C$8:$C$42)-MIN(ROW('03.Muestra'!$D$8:$D$42))+1,""),ROW()-702)),"")</f>
        <v>Buscador</v>
      </c>
      <c r="C719" s="85" t="str" cm="1">
        <f t="array" ref="C719">IFERROR(INDEX('03.Muestra'!$F$8:$F$42,SMALL(IF("Página Web"='03.Muestra'!$D$8:$D$42,ROW('03.Muestra'!$F$8:$F$42)-MIN(ROW('03.Muestra'!$D$8:$D$42))+1,""),ROW()-702)),"")</f>
        <v>https://elecciones.comunidad.madrid/es/search?search_api_fulltext=partido</v>
      </c>
      <c r="D719" s="99" t="s">
        <v>176</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cm="1">
        <f t="array" ref="A720">IFERROR(INDEX('03.Muestra'!$B$8:$B$42,SMALL(IF("Página Web"='03.Muestra'!$D$8:$D$42,ROW('03.Muestra'!$B$8:$B$42)-MIN(ROW('03.Muestra'!$D$8:$D$42))+1,""),ROW()-702)),"")</f>
        <v>18</v>
      </c>
      <c r="B720" s="85" t="str" cm="1">
        <f t="array" ref="B720">IFERROR(INDEX('03.Muestra'!$C$8:$C$42,SMALL(IF("Página Web"='03.Muestra'!$D$8:$D$42,ROW('03.Muestra'!$C$8:$C$42)-MIN(ROW('03.Muestra'!$D$8:$D$42))+1,""),ROW()-702)),"")</f>
        <v>Aviso Legal-Privacidad</v>
      </c>
      <c r="C720" s="85" t="str" cm="1">
        <f t="array" ref="C720">IFERROR(INDEX('03.Muestra'!$F$8:$F$42,SMALL(IF("Página Web"='03.Muestra'!$D$8:$D$42,ROW('03.Muestra'!$F$8:$F$42)-MIN(ROW('03.Muestra'!$D$8:$D$42))+1,""),ROW()-702)),"")</f>
        <v>https://elecciones.comunidad.madrid/es/aviso-legal</v>
      </c>
      <c r="D720" s="99" t="s">
        <v>176</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cm="1">
        <f t="array" ref="A721">IFERROR(INDEX('03.Muestra'!$B$8:$B$42,SMALL(IF("Página Web"='03.Muestra'!$D$8:$D$42,ROW('03.Muestra'!$B$8:$B$42)-MIN(ROW('03.Muestra'!$D$8:$D$42))+1,""),ROW()-702)),"")</f>
        <v>19</v>
      </c>
      <c r="B721" s="85" t="str" cm="1">
        <f t="array" ref="B721">IFERROR(INDEX('03.Muestra'!$C$8:$C$42,SMALL(IF("Página Web"='03.Muestra'!$D$8:$D$42,ROW('03.Muestra'!$C$8:$C$42)-MIN(ROW('03.Muestra'!$D$8:$D$42))+1,""),ROW()-702)),"")</f>
        <v>Mapa Web</v>
      </c>
      <c r="C721" s="85" t="str" cm="1">
        <f t="array" ref="C721">IFERROR(INDEX('03.Muestra'!$F$8:$F$42,SMALL(IF("Página Web"='03.Muestra'!$D$8:$D$42,ROW('03.Muestra'!$F$8:$F$42)-MIN(ROW('03.Muestra'!$D$8:$D$42))+1,""),ROW()-702)),"")</f>
        <v>https://elecciones.comunidad.madrid/es/sitemap</v>
      </c>
      <c r="D721" s="99" t="s">
        <v>176</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cm="1">
        <f t="array" ref="A722">IFERROR(INDEX('03.Muestra'!$B$8:$B$42,SMALL(IF("Página Web"='03.Muestra'!$D$8:$D$42,ROW('03.Muestra'!$B$8:$B$42)-MIN(ROW('03.Muestra'!$D$8:$D$42))+1,""),ROW()-702)),"")</f>
        <v>20</v>
      </c>
      <c r="B722" s="85" t="str" cm="1">
        <f t="array" ref="B722">IFERROR(INDEX('03.Muestra'!$C$8:$C$42,SMALL(IF("Página Web"='03.Muestra'!$D$8:$D$42,ROW('03.Muestra'!$C$8:$C$42)-MIN(ROW('03.Muestra'!$D$8:$D$42))+1,""),ROW()-702)),"")</f>
        <v>Declaracion Accesibilidad</v>
      </c>
      <c r="C722" s="85" t="str" cm="1">
        <f t="array" ref="C722">IFERROR(INDEX('03.Muestra'!$F$8:$F$42,SMALL(IF("Página Web"='03.Muestra'!$D$8:$D$42,ROW('03.Muestra'!$F$8:$F$42)-MIN(ROW('03.Muestra'!$D$8:$D$42))+1,""),ROW()-702)),"")</f>
        <v>https://elecciones.comunidad.madrid/es/accesibilidad</v>
      </c>
      <c r="D722" s="99" t="s">
        <v>176</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ref="D723:D737" si="37">IF(AND(B723&lt;&gt;"",C723&lt;&gt;""),"N/T","")</f>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181</v>
      </c>
      <c r="B740" s="23" t="s">
        <v>173</v>
      </c>
      <c r="C740" s="24" t="s">
        <v>243</v>
      </c>
      <c r="D740" s="25" t="s">
        <v>183</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Inicio</v>
      </c>
      <c r="C741" s="85" t="str" cm="1">
        <f t="array" ref="C741">IFERROR(INDEX('03.Muestra'!$F$8:$F$42,SMALL(IF("Página Web"='03.Muestra'!$D$8:$D$42,ROW('03.Muestra'!$F$8:$F$42)-MIN(ROW('03.Muestra'!$D$8:$D$42))+1,""),ROW()-740)),"")</f>
        <v>https://elecciones.comunidad.madrid/es</v>
      </c>
      <c r="D741" s="99" t="s">
        <v>176</v>
      </c>
      <c r="E741" s="79" t="str">
        <f t="shared" ref="E741:E775" si="38">IF(D741&lt;&gt;"",IF(AND(B741&lt;&gt;"",C741&lt;&gt;""),"","ERR"),"")</f>
        <v/>
      </c>
      <c r="F741" s="86" t="s">
        <v>185</v>
      </c>
      <c r="G741" s="87" t="s">
        <v>186</v>
      </c>
      <c r="H741" s="88" t="s">
        <v>184</v>
      </c>
      <c r="I741" s="89" t="s">
        <v>176</v>
      </c>
      <c r="J741" s="90" t="s">
        <v>174</v>
      </c>
      <c r="K741" s="179" t="s">
        <v>180</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Resultado Elecciones 28M 2023</v>
      </c>
      <c r="C742" s="85" t="str" cm="1">
        <f t="array" ref="C742">IFERROR(INDEX('03.Muestra'!$F$8:$F$42,SMALL(IF("Página Web"='03.Muestra'!$D$8:$D$42,ROW('03.Muestra'!$F$8:$F$42)-MIN(ROW('03.Muestra'!$D$8:$D$42))+1,""),ROW()-740)),"")</f>
        <v>https://elecciones.comunidad.madrid/es/resultados-elecciones-asamblea-madrid-28m-2023</v>
      </c>
      <c r="D742" s="99" t="s">
        <v>176</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20</v>
      </c>
      <c r="J742" s="91">
        <f ca="1">COUNTIF($D741:INDIRECT("$D" &amp;  SUM(ROW()-1,'03.Muestra'!$D$45)-1),J741)</f>
        <v>0</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Normativa electoral</v>
      </c>
      <c r="C743" s="85" t="str" cm="1">
        <f t="array" ref="C743">IFERROR(INDEX('03.Muestra'!$F$8:$F$42,SMALL(IF("Página Web"='03.Muestra'!$D$8:$D$42,ROW('03.Muestra'!$F$8:$F$42)-MIN(ROW('03.Muestra'!$D$8:$D$42))+1,""),ROW()-740)),"")</f>
        <v>https://elecciones.comunidad.madrid/es/informacion-electoral/normativa-electoral</v>
      </c>
      <c r="D743" s="99" t="s">
        <v>176</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Calendario electoral</v>
      </c>
      <c r="C744" s="85" t="str" cm="1">
        <f t="array" ref="C744">IFERROR(INDEX('03.Muestra'!$F$8:$F$42,SMALL(IF("Página Web"='03.Muestra'!$D$8:$D$42,ROW('03.Muestra'!$F$8:$F$42)-MIN(ROW('03.Muestra'!$D$8:$D$42))+1,""),ROW()-740)),"")</f>
        <v>https://elecciones.comunidad.madrid/es/informacion-electoral/calendario-electoral</v>
      </c>
      <c r="D744" s="99" t="s">
        <v>176</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Direcciones y teléfonos</v>
      </c>
      <c r="C745" s="85" t="str" cm="1">
        <f t="array" ref="C745">IFERROR(INDEX('03.Muestra'!$F$8:$F$42,SMALL(IF("Página Web"='03.Muestra'!$D$8:$D$42,ROW('03.Muestra'!$F$8:$F$42)-MIN(ROW('03.Muestra'!$D$8:$D$42))+1,""),ROW()-740)),"")</f>
        <v>https://elecciones.comunidad.madrid/es/juntas-electorales/direcciones-telefonos</v>
      </c>
      <c r="D745" s="99" t="s">
        <v>176</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Impresos electrónicos</v>
      </c>
      <c r="C746" s="85" t="str" cm="1">
        <f t="array" ref="C746">IFERROR(INDEX('03.Muestra'!$F$8:$F$42,SMALL(IF("Página Web"='03.Muestra'!$D$8:$D$42,ROW('03.Muestra'!$F$8:$F$42)-MIN(ROW('03.Muestra'!$D$8:$D$42))+1,""),ROW()-740)),"")</f>
        <v>https://elecciones.comunidad.madrid/es/formaciones-politicas/impresos-electronicos</v>
      </c>
      <c r="D746" s="99" t="s">
        <v>176</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Listado de candidaturas</v>
      </c>
      <c r="C747" s="85" t="str" cm="1">
        <f t="array" ref="C747">IFERROR(INDEX('03.Muestra'!$F$8:$F$42,SMALL(IF("Página Web"='03.Muestra'!$D$8:$D$42,ROW('03.Muestra'!$F$8:$F$42)-MIN(ROW('03.Muestra'!$D$8:$D$42))+1,""),ROW()-740)),"")</f>
        <v>https://elecciones.comunidad.madrid/es/formaciones-politicas/listado-candidaturas-proclamadas</v>
      </c>
      <c r="D747" s="99" t="s">
        <v>176</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Partido Feminista de España</v>
      </c>
      <c r="C748" s="85" t="str" cm="1">
        <f t="array" ref="C748">IFERROR(INDEX('03.Muestra'!$F$8:$F$42,SMALL(IF("Página Web"='03.Muestra'!$D$8:$D$42,ROW('03.Muestra'!$F$8:$F$42)-MIN(ROW('03.Muestra'!$D$8:$D$42))+1,""),ROW()-740)),"")</f>
        <v>https://elecciones.comunidad.madrid/es/formaciones-politicas/listado-candidaturas/partido-feminista-espana</v>
      </c>
      <c r="D748" s="99" t="s">
        <v>176</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cm="1">
        <f t="array" ref="A749">IFERROR(INDEX('03.Muestra'!$B$8:$B$42,SMALL(IF("Página Web"='03.Muestra'!$D$8:$D$42,ROW('03.Muestra'!$B$8:$B$42)-MIN(ROW('03.Muestra'!$D$8:$D$42))+1,""),ROW()-740)),"")</f>
        <v>9</v>
      </c>
      <c r="B749" s="85" t="str" cm="1">
        <f t="array" ref="B749">IFERROR(INDEX('03.Muestra'!$C$8:$C$42,SMALL(IF("Página Web"='03.Muestra'!$D$8:$D$42,ROW('03.Muestra'!$C$8:$C$42)-MIN(ROW('03.Muestra'!$D$8:$D$42))+1,""),ROW()-740)),"")</f>
        <v>¿Dónde voto?</v>
      </c>
      <c r="C749" s="85" t="str" cm="1">
        <f t="array" ref="C749">IFERROR(INDEX('03.Muestra'!$F$8:$F$42,SMALL(IF("Página Web"='03.Muestra'!$D$8:$D$42,ROW('03.Muestra'!$F$8:$F$42)-MIN(ROW('03.Muestra'!$D$8:$D$42))+1,""),ROW()-740)),"")</f>
        <v>https://elecciones.comunidad.madrid/es/votar/donde-voto</v>
      </c>
      <c r="D749" s="99" t="s">
        <v>176</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cm="1">
        <f t="array" ref="A750">IFERROR(INDEX('03.Muestra'!$B$8:$B$42,SMALL(IF("Página Web"='03.Muestra'!$D$8:$D$42,ROW('03.Muestra'!$B$8:$B$42)-MIN(ROW('03.Muestra'!$D$8:$D$42))+1,""),ROW()-740)),"")</f>
        <v>10</v>
      </c>
      <c r="B750" s="85" t="str" cm="1">
        <f t="array" ref="B750">IFERROR(INDEX('03.Muestra'!$C$8:$C$42,SMALL(IF("Página Web"='03.Muestra'!$D$8:$D$42,ROW('03.Muestra'!$C$8:$C$42)-MIN(ROW('03.Muestra'!$D$8:$D$42))+1,""),ROW()-740)),"")</f>
        <v>Voto presencial</v>
      </c>
      <c r="C750" s="85" t="str" cm="1">
        <f t="array" ref="C750">IFERROR(INDEX('03.Muestra'!$F$8:$F$42,SMALL(IF("Página Web"='03.Muestra'!$D$8:$D$42,ROW('03.Muestra'!$F$8:$F$42)-MIN(ROW('03.Muestra'!$D$8:$D$42))+1,""),ROW()-740)),"")</f>
        <v>https://elecciones.comunidad.madrid/es/voto-local-electoral/voto-presencial</v>
      </c>
      <c r="D750" s="99" t="s">
        <v>176</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cm="1">
        <f t="array" ref="A751">IFERROR(INDEX('03.Muestra'!$B$8:$B$42,SMALL(IF("Página Web"='03.Muestra'!$D$8:$D$42,ROW('03.Muestra'!$B$8:$B$42)-MIN(ROW('03.Muestra'!$D$8:$D$42))+1,""),ROW()-740)),"")</f>
        <v>11</v>
      </c>
      <c r="B751" s="85" t="str" cm="1">
        <f t="array" ref="B751">IFERROR(INDEX('03.Muestra'!$C$8:$C$42,SMALL(IF("Página Web"='03.Muestra'!$D$8:$D$42,ROW('03.Muestra'!$C$8:$C$42)-MIN(ROW('03.Muestra'!$D$8:$D$42))+1,""),ROW()-740)),"")</f>
        <v>Ciudadanos temporalmente en el extranjero</v>
      </c>
      <c r="C751" s="85" t="str" cm="1">
        <f t="array" ref="C751">IFERROR(INDEX('03.Muestra'!$F$8:$F$42,SMALL(IF("Página Web"='03.Muestra'!$D$8:$D$42,ROW('03.Muestra'!$F$8:$F$42)-MIN(ROW('03.Muestra'!$D$8:$D$42))+1,""),ROW()-740)),"")</f>
        <v>https://elecciones.comunidad.madrid/es/voto-correo/solicitud-voto-temporalmente-ausentes</v>
      </c>
      <c r="D751" s="99" t="s">
        <v>176</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cm="1">
        <f t="array" ref="A752">IFERROR(INDEX('03.Muestra'!$B$8:$B$42,SMALL(IF("Página Web"='03.Muestra'!$D$8:$D$42,ROW('03.Muestra'!$B$8:$B$42)-MIN(ROW('03.Muestra'!$D$8:$D$42))+1,""),ROW()-740)),"")</f>
        <v>12</v>
      </c>
      <c r="B752" s="85" t="str" cm="1">
        <f t="array" ref="B752">IFERROR(INDEX('03.Muestra'!$C$8:$C$42,SMALL(IF("Página Web"='03.Muestra'!$D$8:$D$42,ROW('03.Muestra'!$C$8:$C$42)-MIN(ROW('03.Muestra'!$D$8:$D$42))+1,""),ROW()-740)),"")</f>
        <v>Nuevo votante</v>
      </c>
      <c r="C752" s="85" t="str" cm="1">
        <f t="array" ref="C752">IFERROR(INDEX('03.Muestra'!$F$8:$F$42,SMALL(IF("Página Web"='03.Muestra'!$D$8:$D$42,ROW('03.Muestra'!$F$8:$F$42)-MIN(ROW('03.Muestra'!$D$8:$D$42))+1,""),ROW()-740)),"")</f>
        <v>https://elecciones.comunidad.madrid/es/votar/nuevo-votante</v>
      </c>
      <c r="D752" s="99" t="s">
        <v>176</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cm="1">
        <f t="array" ref="A753">IFERROR(INDEX('03.Muestra'!$B$8:$B$42,SMALL(IF("Página Web"='03.Muestra'!$D$8:$D$42,ROW('03.Muestra'!$B$8:$B$42)-MIN(ROW('03.Muestra'!$D$8:$D$42))+1,""),ROW()-740)),"")</f>
        <v>13</v>
      </c>
      <c r="B753" s="85" t="str" cm="1">
        <f t="array" ref="B753">IFERROR(INDEX('03.Muestra'!$C$8:$C$42,SMALL(IF("Página Web"='03.Muestra'!$D$8:$D$42,ROW('03.Muestra'!$C$8:$C$42)-MIN(ROW('03.Muestra'!$D$8:$D$42))+1,""),ROW()-740)),"")</f>
        <v>Simulación método D'Hondt</v>
      </c>
      <c r="C753" s="85" t="str" cm="1">
        <f t="array" ref="C753">IFERROR(INDEX('03.Muestra'!$F$8:$F$42,SMALL(IF("Página Web"='03.Muestra'!$D$8:$D$42,ROW('03.Muestra'!$F$8:$F$42)-MIN(ROW('03.Muestra'!$D$8:$D$42))+1,""),ROW()-740)),"")</f>
        <v>https://elecciones.comunidad.madrid/es/informacion-util/simulacion-metodo-dhondt</v>
      </c>
      <c r="D753" s="99" t="s">
        <v>176</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cm="1">
        <f t="array" ref="A754">IFERROR(INDEX('03.Muestra'!$B$8:$B$42,SMALL(IF("Página Web"='03.Muestra'!$D$8:$D$42,ROW('03.Muestra'!$B$8:$B$42)-MIN(ROW('03.Muestra'!$D$8:$D$42))+1,""),ROW()-740)),"")</f>
        <v>14</v>
      </c>
      <c r="B754" s="85" t="str" cm="1">
        <f t="array" ref="B754">IFERROR(INDEX('03.Muestra'!$C$8:$C$42,SMALL(IF("Página Web"='03.Muestra'!$D$8:$D$42,ROW('03.Muestra'!$C$8:$C$42)-MIN(ROW('03.Muestra'!$D$8:$D$42))+1,""),ROW()-740)),"")</f>
        <v>Ley D'Hondt</v>
      </c>
      <c r="C754" s="85" t="str" cm="1">
        <f t="array" ref="C754">IFERROR(INDEX('03.Muestra'!$F$8:$F$42,SMALL(IF("Página Web"='03.Muestra'!$D$8:$D$42,ROW('03.Muestra'!$F$8:$F$42)-MIN(ROW('03.Muestra'!$D$8:$D$42))+1,""),ROW()-740)),"")</f>
        <v>https://elecciones.comunidad.madrid/es/resultados/ley_d_hondt</v>
      </c>
      <c r="D754" s="99" t="s">
        <v>176</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cm="1">
        <f t="array" ref="A755">IFERROR(INDEX('03.Muestra'!$B$8:$B$42,SMALL(IF("Página Web"='03.Muestra'!$D$8:$D$42,ROW('03.Muestra'!$B$8:$B$42)-MIN(ROW('03.Muestra'!$D$8:$D$42))+1,""),ROW()-740)),"")</f>
        <v>15</v>
      </c>
      <c r="B755" s="85" t="str" cm="1">
        <f t="array" ref="B755">IFERROR(INDEX('03.Muestra'!$C$8:$C$42,SMALL(IF("Página Web"='03.Muestra'!$D$8:$D$42,ROW('03.Muestra'!$C$8:$C$42)-MIN(ROW('03.Muestra'!$D$8:$D$42))+1,""),ROW()-740)),"")</f>
        <v>Voto por correo elector CERA en España</v>
      </c>
      <c r="C755" s="85" t="str" cm="1">
        <f t="array" ref="C755">IFERROR(INDEX('03.Muestra'!$F$8:$F$42,SMALL(IF("Página Web"='03.Muestra'!$D$8:$D$42,ROW('03.Muestra'!$F$8:$F$42)-MIN(ROW('03.Muestra'!$D$8:$D$42))+1,""),ROW()-740)),"")</f>
        <v>https://elecciones.comunidad.madrid/es/preguntas-frecuentes/voto-correo-electores-residentes-extranjero</v>
      </c>
      <c r="D755" s="99" t="s">
        <v>176</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cm="1">
        <f t="array" ref="A756">IFERROR(INDEX('03.Muestra'!$B$8:$B$42,SMALL(IF("Página Web"='03.Muestra'!$D$8:$D$42,ROW('03.Muestra'!$B$8:$B$42)-MIN(ROW('03.Muestra'!$D$8:$D$42))+1,""),ROW()-740)),"")</f>
        <v>16</v>
      </c>
      <c r="B756" s="85" t="str" cm="1">
        <f t="array" ref="B756">IFERROR(INDEX('03.Muestra'!$C$8:$C$42,SMALL(IF("Página Web"='03.Muestra'!$D$8:$D$42,ROW('03.Muestra'!$C$8:$C$42)-MIN(ROW('03.Muestra'!$D$8:$D$42))+1,""),ROW()-740)),"")</f>
        <v>Contacto</v>
      </c>
      <c r="C756" s="85" t="str" cm="1">
        <f t="array" ref="C756">IFERROR(INDEX('03.Muestra'!$F$8:$F$42,SMALL(IF("Página Web"='03.Muestra'!$D$8:$D$42,ROW('03.Muestra'!$F$8:$F$42)-MIN(ROW('03.Muestra'!$D$8:$D$42))+1,""),ROW()-740)),"")</f>
        <v>https://elecciones.comunidad.madrid/es/buzon-de-sugerencias</v>
      </c>
      <c r="D756" s="99" t="s">
        <v>176</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cm="1">
        <f t="array" ref="A757">IFERROR(INDEX('03.Muestra'!$B$8:$B$42,SMALL(IF("Página Web"='03.Muestra'!$D$8:$D$42,ROW('03.Muestra'!$B$8:$B$42)-MIN(ROW('03.Muestra'!$D$8:$D$42))+1,""),ROW()-740)),"")</f>
        <v>17</v>
      </c>
      <c r="B757" s="85" t="str" cm="1">
        <f t="array" ref="B757">IFERROR(INDEX('03.Muestra'!$C$8:$C$42,SMALL(IF("Página Web"='03.Muestra'!$D$8:$D$42,ROW('03.Muestra'!$C$8:$C$42)-MIN(ROW('03.Muestra'!$D$8:$D$42))+1,""),ROW()-740)),"")</f>
        <v>Buscador</v>
      </c>
      <c r="C757" s="85" t="str" cm="1">
        <f t="array" ref="C757">IFERROR(INDEX('03.Muestra'!$F$8:$F$42,SMALL(IF("Página Web"='03.Muestra'!$D$8:$D$42,ROW('03.Muestra'!$F$8:$F$42)-MIN(ROW('03.Muestra'!$D$8:$D$42))+1,""),ROW()-740)),"")</f>
        <v>https://elecciones.comunidad.madrid/es/search?search_api_fulltext=partido</v>
      </c>
      <c r="D757" s="99" t="s">
        <v>176</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cm="1">
        <f t="array" ref="A758">IFERROR(INDEX('03.Muestra'!$B$8:$B$42,SMALL(IF("Página Web"='03.Muestra'!$D$8:$D$42,ROW('03.Muestra'!$B$8:$B$42)-MIN(ROW('03.Muestra'!$D$8:$D$42))+1,""),ROW()-740)),"")</f>
        <v>18</v>
      </c>
      <c r="B758" s="85" t="str" cm="1">
        <f t="array" ref="B758">IFERROR(INDEX('03.Muestra'!$C$8:$C$42,SMALL(IF("Página Web"='03.Muestra'!$D$8:$D$42,ROW('03.Muestra'!$C$8:$C$42)-MIN(ROW('03.Muestra'!$D$8:$D$42))+1,""),ROW()-740)),"")</f>
        <v>Aviso Legal-Privacidad</v>
      </c>
      <c r="C758" s="85" t="str" cm="1">
        <f t="array" ref="C758">IFERROR(INDEX('03.Muestra'!$F$8:$F$42,SMALL(IF("Página Web"='03.Muestra'!$D$8:$D$42,ROW('03.Muestra'!$F$8:$F$42)-MIN(ROW('03.Muestra'!$D$8:$D$42))+1,""),ROW()-740)),"")</f>
        <v>https://elecciones.comunidad.madrid/es/aviso-legal</v>
      </c>
      <c r="D758" s="99" t="s">
        <v>176</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cm="1">
        <f t="array" ref="A759">IFERROR(INDEX('03.Muestra'!$B$8:$B$42,SMALL(IF("Página Web"='03.Muestra'!$D$8:$D$42,ROW('03.Muestra'!$B$8:$B$42)-MIN(ROW('03.Muestra'!$D$8:$D$42))+1,""),ROW()-740)),"")</f>
        <v>19</v>
      </c>
      <c r="B759" s="85" t="str" cm="1">
        <f t="array" ref="B759">IFERROR(INDEX('03.Muestra'!$C$8:$C$42,SMALL(IF("Página Web"='03.Muestra'!$D$8:$D$42,ROW('03.Muestra'!$C$8:$C$42)-MIN(ROW('03.Muestra'!$D$8:$D$42))+1,""),ROW()-740)),"")</f>
        <v>Mapa Web</v>
      </c>
      <c r="C759" s="85" t="str" cm="1">
        <f t="array" ref="C759">IFERROR(INDEX('03.Muestra'!$F$8:$F$42,SMALL(IF("Página Web"='03.Muestra'!$D$8:$D$42,ROW('03.Muestra'!$F$8:$F$42)-MIN(ROW('03.Muestra'!$D$8:$D$42))+1,""),ROW()-740)),"")</f>
        <v>https://elecciones.comunidad.madrid/es/sitemap</v>
      </c>
      <c r="D759" s="99" t="s">
        <v>176</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cm="1">
        <f t="array" ref="A760">IFERROR(INDEX('03.Muestra'!$B$8:$B$42,SMALL(IF("Página Web"='03.Muestra'!$D$8:$D$42,ROW('03.Muestra'!$B$8:$B$42)-MIN(ROW('03.Muestra'!$D$8:$D$42))+1,""),ROW()-740)),"")</f>
        <v>20</v>
      </c>
      <c r="B760" s="85" t="str" cm="1">
        <f t="array" ref="B760">IFERROR(INDEX('03.Muestra'!$C$8:$C$42,SMALL(IF("Página Web"='03.Muestra'!$D$8:$D$42,ROW('03.Muestra'!$C$8:$C$42)-MIN(ROW('03.Muestra'!$D$8:$D$42))+1,""),ROW()-740)),"")</f>
        <v>Declaracion Accesibilidad</v>
      </c>
      <c r="C760" s="85" t="str" cm="1">
        <f t="array" ref="C760">IFERROR(INDEX('03.Muestra'!$F$8:$F$42,SMALL(IF("Página Web"='03.Muestra'!$D$8:$D$42,ROW('03.Muestra'!$F$8:$F$42)-MIN(ROW('03.Muestra'!$D$8:$D$42))+1,""),ROW()-740)),"")</f>
        <v>https://elecciones.comunidad.madrid/es/accesibilidad</v>
      </c>
      <c r="D760" s="99" t="s">
        <v>176</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ref="D761:D775" si="39">IF(AND(B761&lt;&gt;"",C761&lt;&gt;""),"N/T","")</f>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181</v>
      </c>
      <c r="B778" s="23" t="s">
        <v>173</v>
      </c>
      <c r="C778" s="24" t="s">
        <v>244</v>
      </c>
      <c r="D778" s="25" t="s">
        <v>183</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Inicio</v>
      </c>
      <c r="C779" s="85" t="str" cm="1">
        <f t="array" ref="C779">IFERROR(INDEX('03.Muestra'!$F$8:$F$42,SMALL(IF("Página Web"='03.Muestra'!$D$8:$D$42,ROW('03.Muestra'!$F$8:$F$42)-MIN(ROW('03.Muestra'!$D$8:$D$42))+1,""),ROW()-778)),"")</f>
        <v>https://elecciones.comunidad.madrid/es</v>
      </c>
      <c r="D779" s="99" t="s">
        <v>174</v>
      </c>
      <c r="E779" s="79" t="str">
        <f t="shared" ref="E779:E813" si="40">IF(D779&lt;&gt;"",IF(AND(B779&lt;&gt;"",C779&lt;&gt;""),"","ERR"),"")</f>
        <v/>
      </c>
      <c r="F779" s="86" t="s">
        <v>185</v>
      </c>
      <c r="G779" s="87" t="s">
        <v>186</v>
      </c>
      <c r="H779" s="88" t="s">
        <v>184</v>
      </c>
      <c r="I779" s="89" t="s">
        <v>176</v>
      </c>
      <c r="J779" s="90" t="s">
        <v>174</v>
      </c>
      <c r="K779" s="179" t="s">
        <v>180</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Resultado Elecciones 28M 2023</v>
      </c>
      <c r="C780" s="85" t="str" cm="1">
        <f t="array" ref="C780">IFERROR(INDEX('03.Muestra'!$F$8:$F$42,SMALL(IF("Página Web"='03.Muestra'!$D$8:$D$42,ROW('03.Muestra'!$F$8:$F$42)-MIN(ROW('03.Muestra'!$D$8:$D$42))+1,""),ROW()-778)),"")</f>
        <v>https://elecciones.comunidad.madrid/es/resultados-elecciones-asamblea-madrid-28m-2023</v>
      </c>
      <c r="D780" s="99" t="s">
        <v>174</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20</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Normativa electoral</v>
      </c>
      <c r="C781" s="85" t="str" cm="1">
        <f t="array" ref="C781">IFERROR(INDEX('03.Muestra'!$F$8:$F$42,SMALL(IF("Página Web"='03.Muestra'!$D$8:$D$42,ROW('03.Muestra'!$F$8:$F$42)-MIN(ROW('03.Muestra'!$D$8:$D$42))+1,""),ROW()-778)),"")</f>
        <v>https://elecciones.comunidad.madrid/es/informacion-electoral/normativa-electoral</v>
      </c>
      <c r="D781" s="99" t="s">
        <v>174</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Calendario electoral</v>
      </c>
      <c r="C782" s="85" t="str" cm="1">
        <f t="array" ref="C782">IFERROR(INDEX('03.Muestra'!$F$8:$F$42,SMALL(IF("Página Web"='03.Muestra'!$D$8:$D$42,ROW('03.Muestra'!$F$8:$F$42)-MIN(ROW('03.Muestra'!$D$8:$D$42))+1,""),ROW()-778)),"")</f>
        <v>https://elecciones.comunidad.madrid/es/informacion-electoral/calendario-electoral</v>
      </c>
      <c r="D782" s="99" t="s">
        <v>174</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Direcciones y teléfonos</v>
      </c>
      <c r="C783" s="85" t="str" cm="1">
        <f t="array" ref="C783">IFERROR(INDEX('03.Muestra'!$F$8:$F$42,SMALL(IF("Página Web"='03.Muestra'!$D$8:$D$42,ROW('03.Muestra'!$F$8:$F$42)-MIN(ROW('03.Muestra'!$D$8:$D$42))+1,""),ROW()-778)),"")</f>
        <v>https://elecciones.comunidad.madrid/es/juntas-electorales/direcciones-telefonos</v>
      </c>
      <c r="D783" s="99" t="s">
        <v>174</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Impresos electrónicos</v>
      </c>
      <c r="C784" s="85" t="str" cm="1">
        <f t="array" ref="C784">IFERROR(INDEX('03.Muestra'!$F$8:$F$42,SMALL(IF("Página Web"='03.Muestra'!$D$8:$D$42,ROW('03.Muestra'!$F$8:$F$42)-MIN(ROW('03.Muestra'!$D$8:$D$42))+1,""),ROW()-778)),"")</f>
        <v>https://elecciones.comunidad.madrid/es/formaciones-politicas/impresos-electronicos</v>
      </c>
      <c r="D784" s="99" t="s">
        <v>174</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Listado de candidaturas</v>
      </c>
      <c r="C785" s="85" t="str" cm="1">
        <f t="array" ref="C785">IFERROR(INDEX('03.Muestra'!$F$8:$F$42,SMALL(IF("Página Web"='03.Muestra'!$D$8:$D$42,ROW('03.Muestra'!$F$8:$F$42)-MIN(ROW('03.Muestra'!$D$8:$D$42))+1,""),ROW()-778)),"")</f>
        <v>https://elecciones.comunidad.madrid/es/formaciones-politicas/listado-candidaturas-proclamadas</v>
      </c>
      <c r="D785" s="99" t="s">
        <v>174</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Partido Feminista de España</v>
      </c>
      <c r="C786" s="85" t="str" cm="1">
        <f t="array" ref="C786">IFERROR(INDEX('03.Muestra'!$F$8:$F$42,SMALL(IF("Página Web"='03.Muestra'!$D$8:$D$42,ROW('03.Muestra'!$F$8:$F$42)-MIN(ROW('03.Muestra'!$D$8:$D$42))+1,""),ROW()-778)),"")</f>
        <v>https://elecciones.comunidad.madrid/es/formaciones-politicas/listado-candidaturas/partido-feminista-espana</v>
      </c>
      <c r="D786" s="99" t="s">
        <v>174</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cm="1">
        <f t="array" ref="A787">IFERROR(INDEX('03.Muestra'!$B$8:$B$42,SMALL(IF("Página Web"='03.Muestra'!$D$8:$D$42,ROW('03.Muestra'!$B$8:$B$42)-MIN(ROW('03.Muestra'!$D$8:$D$42))+1,""),ROW()-778)),"")</f>
        <v>9</v>
      </c>
      <c r="B787" s="85" t="str" cm="1">
        <f t="array" ref="B787">IFERROR(INDEX('03.Muestra'!$C$8:$C$42,SMALL(IF("Página Web"='03.Muestra'!$D$8:$D$42,ROW('03.Muestra'!$C$8:$C$42)-MIN(ROW('03.Muestra'!$D$8:$D$42))+1,""),ROW()-778)),"")</f>
        <v>¿Dónde voto?</v>
      </c>
      <c r="C787" s="85" t="str" cm="1">
        <f t="array" ref="C787">IFERROR(INDEX('03.Muestra'!$F$8:$F$42,SMALL(IF("Página Web"='03.Muestra'!$D$8:$D$42,ROW('03.Muestra'!$F$8:$F$42)-MIN(ROW('03.Muestra'!$D$8:$D$42))+1,""),ROW()-778)),"")</f>
        <v>https://elecciones.comunidad.madrid/es/votar/donde-voto</v>
      </c>
      <c r="D787" s="99" t="s">
        <v>174</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cm="1">
        <f t="array" ref="A788">IFERROR(INDEX('03.Muestra'!$B$8:$B$42,SMALL(IF("Página Web"='03.Muestra'!$D$8:$D$42,ROW('03.Muestra'!$B$8:$B$42)-MIN(ROW('03.Muestra'!$D$8:$D$42))+1,""),ROW()-778)),"")</f>
        <v>10</v>
      </c>
      <c r="B788" s="85" t="str" cm="1">
        <f t="array" ref="B788">IFERROR(INDEX('03.Muestra'!$C$8:$C$42,SMALL(IF("Página Web"='03.Muestra'!$D$8:$D$42,ROW('03.Muestra'!$C$8:$C$42)-MIN(ROW('03.Muestra'!$D$8:$D$42))+1,""),ROW()-778)),"")</f>
        <v>Voto presencial</v>
      </c>
      <c r="C788" s="85" t="str" cm="1">
        <f t="array" ref="C788">IFERROR(INDEX('03.Muestra'!$F$8:$F$42,SMALL(IF("Página Web"='03.Muestra'!$D$8:$D$42,ROW('03.Muestra'!$F$8:$F$42)-MIN(ROW('03.Muestra'!$D$8:$D$42))+1,""),ROW()-778)),"")</f>
        <v>https://elecciones.comunidad.madrid/es/voto-local-electoral/voto-presencial</v>
      </c>
      <c r="D788" s="99" t="s">
        <v>174</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cm="1">
        <f t="array" ref="A789">IFERROR(INDEX('03.Muestra'!$B$8:$B$42,SMALL(IF("Página Web"='03.Muestra'!$D$8:$D$42,ROW('03.Muestra'!$B$8:$B$42)-MIN(ROW('03.Muestra'!$D$8:$D$42))+1,""),ROW()-778)),"")</f>
        <v>11</v>
      </c>
      <c r="B789" s="85" t="str" cm="1">
        <f t="array" ref="B789">IFERROR(INDEX('03.Muestra'!$C$8:$C$42,SMALL(IF("Página Web"='03.Muestra'!$D$8:$D$42,ROW('03.Muestra'!$C$8:$C$42)-MIN(ROW('03.Muestra'!$D$8:$D$42))+1,""),ROW()-778)),"")</f>
        <v>Ciudadanos temporalmente en el extranjero</v>
      </c>
      <c r="C789" s="85" t="str" cm="1">
        <f t="array" ref="C789">IFERROR(INDEX('03.Muestra'!$F$8:$F$42,SMALL(IF("Página Web"='03.Muestra'!$D$8:$D$42,ROW('03.Muestra'!$F$8:$F$42)-MIN(ROW('03.Muestra'!$D$8:$D$42))+1,""),ROW()-778)),"")</f>
        <v>https://elecciones.comunidad.madrid/es/voto-correo/solicitud-voto-temporalmente-ausentes</v>
      </c>
      <c r="D789" s="99" t="s">
        <v>174</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cm="1">
        <f t="array" ref="A790">IFERROR(INDEX('03.Muestra'!$B$8:$B$42,SMALL(IF("Página Web"='03.Muestra'!$D$8:$D$42,ROW('03.Muestra'!$B$8:$B$42)-MIN(ROW('03.Muestra'!$D$8:$D$42))+1,""),ROW()-778)),"")</f>
        <v>12</v>
      </c>
      <c r="B790" s="85" t="str" cm="1">
        <f t="array" ref="B790">IFERROR(INDEX('03.Muestra'!$C$8:$C$42,SMALL(IF("Página Web"='03.Muestra'!$D$8:$D$42,ROW('03.Muestra'!$C$8:$C$42)-MIN(ROW('03.Muestra'!$D$8:$D$42))+1,""),ROW()-778)),"")</f>
        <v>Nuevo votante</v>
      </c>
      <c r="C790" s="85" t="str" cm="1">
        <f t="array" ref="C790">IFERROR(INDEX('03.Muestra'!$F$8:$F$42,SMALL(IF("Página Web"='03.Muestra'!$D$8:$D$42,ROW('03.Muestra'!$F$8:$F$42)-MIN(ROW('03.Muestra'!$D$8:$D$42))+1,""),ROW()-778)),"")</f>
        <v>https://elecciones.comunidad.madrid/es/votar/nuevo-votante</v>
      </c>
      <c r="D790" s="99" t="s">
        <v>174</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cm="1">
        <f t="array" ref="A791">IFERROR(INDEX('03.Muestra'!$B$8:$B$42,SMALL(IF("Página Web"='03.Muestra'!$D$8:$D$42,ROW('03.Muestra'!$B$8:$B$42)-MIN(ROW('03.Muestra'!$D$8:$D$42))+1,""),ROW()-778)),"")</f>
        <v>13</v>
      </c>
      <c r="B791" s="85" t="str" cm="1">
        <f t="array" ref="B791">IFERROR(INDEX('03.Muestra'!$C$8:$C$42,SMALL(IF("Página Web"='03.Muestra'!$D$8:$D$42,ROW('03.Muestra'!$C$8:$C$42)-MIN(ROW('03.Muestra'!$D$8:$D$42))+1,""),ROW()-778)),"")</f>
        <v>Simulación método D'Hondt</v>
      </c>
      <c r="C791" s="85" t="str" cm="1">
        <f t="array" ref="C791">IFERROR(INDEX('03.Muestra'!$F$8:$F$42,SMALL(IF("Página Web"='03.Muestra'!$D$8:$D$42,ROW('03.Muestra'!$F$8:$F$42)-MIN(ROW('03.Muestra'!$D$8:$D$42))+1,""),ROW()-778)),"")</f>
        <v>https://elecciones.comunidad.madrid/es/informacion-util/simulacion-metodo-dhondt</v>
      </c>
      <c r="D791" s="99" t="s">
        <v>174</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cm="1">
        <f t="array" ref="A792">IFERROR(INDEX('03.Muestra'!$B$8:$B$42,SMALL(IF("Página Web"='03.Muestra'!$D$8:$D$42,ROW('03.Muestra'!$B$8:$B$42)-MIN(ROW('03.Muestra'!$D$8:$D$42))+1,""),ROW()-778)),"")</f>
        <v>14</v>
      </c>
      <c r="B792" s="85" t="str" cm="1">
        <f t="array" ref="B792">IFERROR(INDEX('03.Muestra'!$C$8:$C$42,SMALL(IF("Página Web"='03.Muestra'!$D$8:$D$42,ROW('03.Muestra'!$C$8:$C$42)-MIN(ROW('03.Muestra'!$D$8:$D$42))+1,""),ROW()-778)),"")</f>
        <v>Ley D'Hondt</v>
      </c>
      <c r="C792" s="85" t="str" cm="1">
        <f t="array" ref="C792">IFERROR(INDEX('03.Muestra'!$F$8:$F$42,SMALL(IF("Página Web"='03.Muestra'!$D$8:$D$42,ROW('03.Muestra'!$F$8:$F$42)-MIN(ROW('03.Muestra'!$D$8:$D$42))+1,""),ROW()-778)),"")</f>
        <v>https://elecciones.comunidad.madrid/es/resultados/ley_d_hondt</v>
      </c>
      <c r="D792" s="99" t="s">
        <v>174</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cm="1">
        <f t="array" ref="A793">IFERROR(INDEX('03.Muestra'!$B$8:$B$42,SMALL(IF("Página Web"='03.Muestra'!$D$8:$D$42,ROW('03.Muestra'!$B$8:$B$42)-MIN(ROW('03.Muestra'!$D$8:$D$42))+1,""),ROW()-778)),"")</f>
        <v>15</v>
      </c>
      <c r="B793" s="85" t="str" cm="1">
        <f t="array" ref="B793">IFERROR(INDEX('03.Muestra'!$C$8:$C$42,SMALL(IF("Página Web"='03.Muestra'!$D$8:$D$42,ROW('03.Muestra'!$C$8:$C$42)-MIN(ROW('03.Muestra'!$D$8:$D$42))+1,""),ROW()-778)),"")</f>
        <v>Voto por correo elector CERA en España</v>
      </c>
      <c r="C793" s="85" t="str" cm="1">
        <f t="array" ref="C793">IFERROR(INDEX('03.Muestra'!$F$8:$F$42,SMALL(IF("Página Web"='03.Muestra'!$D$8:$D$42,ROW('03.Muestra'!$F$8:$F$42)-MIN(ROW('03.Muestra'!$D$8:$D$42))+1,""),ROW()-778)),"")</f>
        <v>https://elecciones.comunidad.madrid/es/preguntas-frecuentes/voto-correo-electores-residentes-extranjero</v>
      </c>
      <c r="D793" s="99" t="s">
        <v>174</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cm="1">
        <f t="array" ref="A794">IFERROR(INDEX('03.Muestra'!$B$8:$B$42,SMALL(IF("Página Web"='03.Muestra'!$D$8:$D$42,ROW('03.Muestra'!$B$8:$B$42)-MIN(ROW('03.Muestra'!$D$8:$D$42))+1,""),ROW()-778)),"")</f>
        <v>16</v>
      </c>
      <c r="B794" s="85" t="str" cm="1">
        <f t="array" ref="B794">IFERROR(INDEX('03.Muestra'!$C$8:$C$42,SMALL(IF("Página Web"='03.Muestra'!$D$8:$D$42,ROW('03.Muestra'!$C$8:$C$42)-MIN(ROW('03.Muestra'!$D$8:$D$42))+1,""),ROW()-778)),"")</f>
        <v>Contacto</v>
      </c>
      <c r="C794" s="85" t="str" cm="1">
        <f t="array" ref="C794">IFERROR(INDEX('03.Muestra'!$F$8:$F$42,SMALL(IF("Página Web"='03.Muestra'!$D$8:$D$42,ROW('03.Muestra'!$F$8:$F$42)-MIN(ROW('03.Muestra'!$D$8:$D$42))+1,""),ROW()-778)),"")</f>
        <v>https://elecciones.comunidad.madrid/es/buzon-de-sugerencias</v>
      </c>
      <c r="D794" s="99" t="s">
        <v>174</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cm="1">
        <f t="array" ref="A795">IFERROR(INDEX('03.Muestra'!$B$8:$B$42,SMALL(IF("Página Web"='03.Muestra'!$D$8:$D$42,ROW('03.Muestra'!$B$8:$B$42)-MIN(ROW('03.Muestra'!$D$8:$D$42))+1,""),ROW()-778)),"")</f>
        <v>17</v>
      </c>
      <c r="B795" s="85" t="str" cm="1">
        <f t="array" ref="B795">IFERROR(INDEX('03.Muestra'!$C$8:$C$42,SMALL(IF("Página Web"='03.Muestra'!$D$8:$D$42,ROW('03.Muestra'!$C$8:$C$42)-MIN(ROW('03.Muestra'!$D$8:$D$42))+1,""),ROW()-778)),"")</f>
        <v>Buscador</v>
      </c>
      <c r="C795" s="85" t="str" cm="1">
        <f t="array" ref="C795">IFERROR(INDEX('03.Muestra'!$F$8:$F$42,SMALL(IF("Página Web"='03.Muestra'!$D$8:$D$42,ROW('03.Muestra'!$F$8:$F$42)-MIN(ROW('03.Muestra'!$D$8:$D$42))+1,""),ROW()-778)),"")</f>
        <v>https://elecciones.comunidad.madrid/es/search?search_api_fulltext=partido</v>
      </c>
      <c r="D795" s="99" t="s">
        <v>174</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cm="1">
        <f t="array" ref="A796">IFERROR(INDEX('03.Muestra'!$B$8:$B$42,SMALL(IF("Página Web"='03.Muestra'!$D$8:$D$42,ROW('03.Muestra'!$B$8:$B$42)-MIN(ROW('03.Muestra'!$D$8:$D$42))+1,""),ROW()-778)),"")</f>
        <v>18</v>
      </c>
      <c r="B796" s="85" t="str" cm="1">
        <f t="array" ref="B796">IFERROR(INDEX('03.Muestra'!$C$8:$C$42,SMALL(IF("Página Web"='03.Muestra'!$D$8:$D$42,ROW('03.Muestra'!$C$8:$C$42)-MIN(ROW('03.Muestra'!$D$8:$D$42))+1,""),ROW()-778)),"")</f>
        <v>Aviso Legal-Privacidad</v>
      </c>
      <c r="C796" s="85" t="str" cm="1">
        <f t="array" ref="C796">IFERROR(INDEX('03.Muestra'!$F$8:$F$42,SMALL(IF("Página Web"='03.Muestra'!$D$8:$D$42,ROW('03.Muestra'!$F$8:$F$42)-MIN(ROW('03.Muestra'!$D$8:$D$42))+1,""),ROW()-778)),"")</f>
        <v>https://elecciones.comunidad.madrid/es/aviso-legal</v>
      </c>
      <c r="D796" s="99" t="s">
        <v>174</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cm="1">
        <f t="array" ref="A797">IFERROR(INDEX('03.Muestra'!$B$8:$B$42,SMALL(IF("Página Web"='03.Muestra'!$D$8:$D$42,ROW('03.Muestra'!$B$8:$B$42)-MIN(ROW('03.Muestra'!$D$8:$D$42))+1,""),ROW()-778)),"")</f>
        <v>19</v>
      </c>
      <c r="B797" s="85" t="str" cm="1">
        <f t="array" ref="B797">IFERROR(INDEX('03.Muestra'!$C$8:$C$42,SMALL(IF("Página Web"='03.Muestra'!$D$8:$D$42,ROW('03.Muestra'!$C$8:$C$42)-MIN(ROW('03.Muestra'!$D$8:$D$42))+1,""),ROW()-778)),"")</f>
        <v>Mapa Web</v>
      </c>
      <c r="C797" s="85" t="str" cm="1">
        <f t="array" ref="C797">IFERROR(INDEX('03.Muestra'!$F$8:$F$42,SMALL(IF("Página Web"='03.Muestra'!$D$8:$D$42,ROW('03.Muestra'!$F$8:$F$42)-MIN(ROW('03.Muestra'!$D$8:$D$42))+1,""),ROW()-778)),"")</f>
        <v>https://elecciones.comunidad.madrid/es/sitemap</v>
      </c>
      <c r="D797" s="99" t="s">
        <v>174</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cm="1">
        <f t="array" ref="A798">IFERROR(INDEX('03.Muestra'!$B$8:$B$42,SMALL(IF("Página Web"='03.Muestra'!$D$8:$D$42,ROW('03.Muestra'!$B$8:$B$42)-MIN(ROW('03.Muestra'!$D$8:$D$42))+1,""),ROW()-778)),"")</f>
        <v>20</v>
      </c>
      <c r="B798" s="85" t="str" cm="1">
        <f t="array" ref="B798">IFERROR(INDEX('03.Muestra'!$C$8:$C$42,SMALL(IF("Página Web"='03.Muestra'!$D$8:$D$42,ROW('03.Muestra'!$C$8:$C$42)-MIN(ROW('03.Muestra'!$D$8:$D$42))+1,""),ROW()-778)),"")</f>
        <v>Declaracion Accesibilidad</v>
      </c>
      <c r="C798" s="85" t="str" cm="1">
        <f t="array" ref="C798">IFERROR(INDEX('03.Muestra'!$F$8:$F$42,SMALL(IF("Página Web"='03.Muestra'!$D$8:$D$42,ROW('03.Muestra'!$F$8:$F$42)-MIN(ROW('03.Muestra'!$D$8:$D$42))+1,""),ROW()-778)),"")</f>
        <v>https://elecciones.comunidad.madrid/es/accesibilidad</v>
      </c>
      <c r="D798" s="99" t="s">
        <v>174</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ref="D799:D813" si="41">IF(AND(B799&lt;&gt;"",C799&lt;&gt;""),"N/T","")</f>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181</v>
      </c>
      <c r="B816" s="23" t="s">
        <v>173</v>
      </c>
      <c r="C816" s="24" t="s">
        <v>245</v>
      </c>
      <c r="D816" s="25" t="s">
        <v>183</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Inicio</v>
      </c>
      <c r="C817" s="85" t="str" cm="1">
        <f t="array" ref="C817">IFERROR(INDEX('03.Muestra'!$F$8:$F$42,SMALL(IF("Página Web"='03.Muestra'!$D$8:$D$42,ROW('03.Muestra'!$F$8:$F$42)-MIN(ROW('03.Muestra'!$D$8:$D$42))+1,""),ROW()-816)),"")</f>
        <v>https://elecciones.comunidad.madrid/es</v>
      </c>
      <c r="D817" s="99" t="s">
        <v>184</v>
      </c>
      <c r="E817" s="79" t="str">
        <f t="shared" ref="E817:E851" si="42">IF(D817&lt;&gt;"",IF(AND(B817&lt;&gt;"",C817&lt;&gt;""),"","ERR"),"")</f>
        <v/>
      </c>
      <c r="F817" s="86" t="s">
        <v>185</v>
      </c>
      <c r="G817" s="87" t="s">
        <v>186</v>
      </c>
      <c r="H817" s="88" t="s">
        <v>184</v>
      </c>
      <c r="I817" s="89" t="s">
        <v>176</v>
      </c>
      <c r="J817" s="90" t="s">
        <v>174</v>
      </c>
      <c r="K817" s="179" t="s">
        <v>180</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Resultado Elecciones 28M 2023</v>
      </c>
      <c r="C818" s="85" t="str" cm="1">
        <f t="array" ref="C818">IFERROR(INDEX('03.Muestra'!$F$8:$F$42,SMALL(IF("Página Web"='03.Muestra'!$D$8:$D$42,ROW('03.Muestra'!$F$8:$F$42)-MIN(ROW('03.Muestra'!$D$8:$D$42))+1,""),ROW()-816)),"")</f>
        <v>https://elecciones.comunidad.madrid/es/resultados-elecciones-asamblea-madrid-28m-2023</v>
      </c>
      <c r="D818" s="99" t="s">
        <v>184</v>
      </c>
      <c r="E818" s="79" t="str">
        <f t="shared" si="42"/>
        <v/>
      </c>
      <c r="F818" s="91">
        <f ca="1">COUNTIF($D817:INDIRECT("$D" &amp;  SUM(ROW()-1,'03.Muestra'!$D$45)-1),F817)</f>
        <v>0</v>
      </c>
      <c r="G818" s="91">
        <f ca="1">COUNTIF($D817:INDIRECT("$D" &amp;  SUM(ROW()-1,'03.Muestra'!$D$45)-1),G817)</f>
        <v>0</v>
      </c>
      <c r="H818" s="91">
        <f ca="1">COUNTIF($D817:INDIRECT("$D" &amp;  SUM(ROW()-1,'03.Muestra'!$D$45)-1),H817)</f>
        <v>20</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Normativa electoral</v>
      </c>
      <c r="C819" s="85" t="str" cm="1">
        <f t="array" ref="C819">IFERROR(INDEX('03.Muestra'!$F$8:$F$42,SMALL(IF("Página Web"='03.Muestra'!$D$8:$D$42,ROW('03.Muestra'!$F$8:$F$42)-MIN(ROW('03.Muestra'!$D$8:$D$42))+1,""),ROW()-816)),"")</f>
        <v>https://elecciones.comunidad.madrid/es/informacion-electoral/normativa-electoral</v>
      </c>
      <c r="D819" s="99" t="s">
        <v>184</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Calendario electoral</v>
      </c>
      <c r="C820" s="85" t="str" cm="1">
        <f t="array" ref="C820">IFERROR(INDEX('03.Muestra'!$F$8:$F$42,SMALL(IF("Página Web"='03.Muestra'!$D$8:$D$42,ROW('03.Muestra'!$F$8:$F$42)-MIN(ROW('03.Muestra'!$D$8:$D$42))+1,""),ROW()-816)),"")</f>
        <v>https://elecciones.comunidad.madrid/es/informacion-electoral/calendario-electoral</v>
      </c>
      <c r="D820" s="99" t="s">
        <v>184</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Direcciones y teléfonos</v>
      </c>
      <c r="C821" s="85" t="str" cm="1">
        <f t="array" ref="C821">IFERROR(INDEX('03.Muestra'!$F$8:$F$42,SMALL(IF("Página Web"='03.Muestra'!$D$8:$D$42,ROW('03.Muestra'!$F$8:$F$42)-MIN(ROW('03.Muestra'!$D$8:$D$42))+1,""),ROW()-816)),"")</f>
        <v>https://elecciones.comunidad.madrid/es/juntas-electorales/direcciones-telefonos</v>
      </c>
      <c r="D821" s="99" t="s">
        <v>184</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Impresos electrónicos</v>
      </c>
      <c r="C822" s="85" t="str" cm="1">
        <f t="array" ref="C822">IFERROR(INDEX('03.Muestra'!$F$8:$F$42,SMALL(IF("Página Web"='03.Muestra'!$D$8:$D$42,ROW('03.Muestra'!$F$8:$F$42)-MIN(ROW('03.Muestra'!$D$8:$D$42))+1,""),ROW()-816)),"")</f>
        <v>https://elecciones.comunidad.madrid/es/formaciones-politicas/impresos-electronicos</v>
      </c>
      <c r="D822" s="99" t="s">
        <v>184</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Listado de candidaturas</v>
      </c>
      <c r="C823" s="85" t="str" cm="1">
        <f t="array" ref="C823">IFERROR(INDEX('03.Muestra'!$F$8:$F$42,SMALL(IF("Página Web"='03.Muestra'!$D$8:$D$42,ROW('03.Muestra'!$F$8:$F$42)-MIN(ROW('03.Muestra'!$D$8:$D$42))+1,""),ROW()-816)),"")</f>
        <v>https://elecciones.comunidad.madrid/es/formaciones-politicas/listado-candidaturas-proclamadas</v>
      </c>
      <c r="D823" s="99" t="s">
        <v>184</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Partido Feminista de España</v>
      </c>
      <c r="C824" s="85" t="str" cm="1">
        <f t="array" ref="C824">IFERROR(INDEX('03.Muestra'!$F$8:$F$42,SMALL(IF("Página Web"='03.Muestra'!$D$8:$D$42,ROW('03.Muestra'!$F$8:$F$42)-MIN(ROW('03.Muestra'!$D$8:$D$42))+1,""),ROW()-816)),"")</f>
        <v>https://elecciones.comunidad.madrid/es/formaciones-politicas/listado-candidaturas/partido-feminista-espana</v>
      </c>
      <c r="D824" s="99" t="s">
        <v>184</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cm="1">
        <f t="array" ref="A825">IFERROR(INDEX('03.Muestra'!$B$8:$B$42,SMALL(IF("Página Web"='03.Muestra'!$D$8:$D$42,ROW('03.Muestra'!$B$8:$B$42)-MIN(ROW('03.Muestra'!$D$8:$D$42))+1,""),ROW()-816)),"")</f>
        <v>9</v>
      </c>
      <c r="B825" s="85" t="str" cm="1">
        <f t="array" ref="B825">IFERROR(INDEX('03.Muestra'!$C$8:$C$42,SMALL(IF("Página Web"='03.Muestra'!$D$8:$D$42,ROW('03.Muestra'!$C$8:$C$42)-MIN(ROW('03.Muestra'!$D$8:$D$42))+1,""),ROW()-816)),"")</f>
        <v>¿Dónde voto?</v>
      </c>
      <c r="C825" s="85" t="str" cm="1">
        <f t="array" ref="C825">IFERROR(INDEX('03.Muestra'!$F$8:$F$42,SMALL(IF("Página Web"='03.Muestra'!$D$8:$D$42,ROW('03.Muestra'!$F$8:$F$42)-MIN(ROW('03.Muestra'!$D$8:$D$42))+1,""),ROW()-816)),"")</f>
        <v>https://elecciones.comunidad.madrid/es/votar/donde-voto</v>
      </c>
      <c r="D825" s="99" t="s">
        <v>184</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cm="1">
        <f t="array" ref="A826">IFERROR(INDEX('03.Muestra'!$B$8:$B$42,SMALL(IF("Página Web"='03.Muestra'!$D$8:$D$42,ROW('03.Muestra'!$B$8:$B$42)-MIN(ROW('03.Muestra'!$D$8:$D$42))+1,""),ROW()-816)),"")</f>
        <v>10</v>
      </c>
      <c r="B826" s="85" t="str" cm="1">
        <f t="array" ref="B826">IFERROR(INDEX('03.Muestra'!$C$8:$C$42,SMALL(IF("Página Web"='03.Muestra'!$D$8:$D$42,ROW('03.Muestra'!$C$8:$C$42)-MIN(ROW('03.Muestra'!$D$8:$D$42))+1,""),ROW()-816)),"")</f>
        <v>Voto presencial</v>
      </c>
      <c r="C826" s="85" t="str" cm="1">
        <f t="array" ref="C826">IFERROR(INDEX('03.Muestra'!$F$8:$F$42,SMALL(IF("Página Web"='03.Muestra'!$D$8:$D$42,ROW('03.Muestra'!$F$8:$F$42)-MIN(ROW('03.Muestra'!$D$8:$D$42))+1,""),ROW()-816)),"")</f>
        <v>https://elecciones.comunidad.madrid/es/voto-local-electoral/voto-presencial</v>
      </c>
      <c r="D826" s="99" t="s">
        <v>184</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cm="1">
        <f t="array" ref="A827">IFERROR(INDEX('03.Muestra'!$B$8:$B$42,SMALL(IF("Página Web"='03.Muestra'!$D$8:$D$42,ROW('03.Muestra'!$B$8:$B$42)-MIN(ROW('03.Muestra'!$D$8:$D$42))+1,""),ROW()-816)),"")</f>
        <v>11</v>
      </c>
      <c r="B827" s="85" t="str" cm="1">
        <f t="array" ref="B827">IFERROR(INDEX('03.Muestra'!$C$8:$C$42,SMALL(IF("Página Web"='03.Muestra'!$D$8:$D$42,ROW('03.Muestra'!$C$8:$C$42)-MIN(ROW('03.Muestra'!$D$8:$D$42))+1,""),ROW()-816)),"")</f>
        <v>Ciudadanos temporalmente en el extranjero</v>
      </c>
      <c r="C827" s="85" t="str" cm="1">
        <f t="array" ref="C827">IFERROR(INDEX('03.Muestra'!$F$8:$F$42,SMALL(IF("Página Web"='03.Muestra'!$D$8:$D$42,ROW('03.Muestra'!$F$8:$F$42)-MIN(ROW('03.Muestra'!$D$8:$D$42))+1,""),ROW()-816)),"")</f>
        <v>https://elecciones.comunidad.madrid/es/voto-correo/solicitud-voto-temporalmente-ausentes</v>
      </c>
      <c r="D827" s="99" t="s">
        <v>184</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cm="1">
        <f t="array" ref="A828">IFERROR(INDEX('03.Muestra'!$B$8:$B$42,SMALL(IF("Página Web"='03.Muestra'!$D$8:$D$42,ROW('03.Muestra'!$B$8:$B$42)-MIN(ROW('03.Muestra'!$D$8:$D$42))+1,""),ROW()-816)),"")</f>
        <v>12</v>
      </c>
      <c r="B828" s="85" t="str" cm="1">
        <f t="array" ref="B828">IFERROR(INDEX('03.Muestra'!$C$8:$C$42,SMALL(IF("Página Web"='03.Muestra'!$D$8:$D$42,ROW('03.Muestra'!$C$8:$C$42)-MIN(ROW('03.Muestra'!$D$8:$D$42))+1,""),ROW()-816)),"")</f>
        <v>Nuevo votante</v>
      </c>
      <c r="C828" s="85" t="str" cm="1">
        <f t="array" ref="C828">IFERROR(INDEX('03.Muestra'!$F$8:$F$42,SMALL(IF("Página Web"='03.Muestra'!$D$8:$D$42,ROW('03.Muestra'!$F$8:$F$42)-MIN(ROW('03.Muestra'!$D$8:$D$42))+1,""),ROW()-816)),"")</f>
        <v>https://elecciones.comunidad.madrid/es/votar/nuevo-votante</v>
      </c>
      <c r="D828" s="99" t="s">
        <v>184</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cm="1">
        <f t="array" ref="A829">IFERROR(INDEX('03.Muestra'!$B$8:$B$42,SMALL(IF("Página Web"='03.Muestra'!$D$8:$D$42,ROW('03.Muestra'!$B$8:$B$42)-MIN(ROW('03.Muestra'!$D$8:$D$42))+1,""),ROW()-816)),"")</f>
        <v>13</v>
      </c>
      <c r="B829" s="85" t="str" cm="1">
        <f t="array" ref="B829">IFERROR(INDEX('03.Muestra'!$C$8:$C$42,SMALL(IF("Página Web"='03.Muestra'!$D$8:$D$42,ROW('03.Muestra'!$C$8:$C$42)-MIN(ROW('03.Muestra'!$D$8:$D$42))+1,""),ROW()-816)),"")</f>
        <v>Simulación método D'Hondt</v>
      </c>
      <c r="C829" s="85" t="str" cm="1">
        <f t="array" ref="C829">IFERROR(INDEX('03.Muestra'!$F$8:$F$42,SMALL(IF("Página Web"='03.Muestra'!$D$8:$D$42,ROW('03.Muestra'!$F$8:$F$42)-MIN(ROW('03.Muestra'!$D$8:$D$42))+1,""),ROW()-816)),"")</f>
        <v>https://elecciones.comunidad.madrid/es/informacion-util/simulacion-metodo-dhondt</v>
      </c>
      <c r="D829" s="99" t="s">
        <v>184</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cm="1">
        <f t="array" ref="A830">IFERROR(INDEX('03.Muestra'!$B$8:$B$42,SMALL(IF("Página Web"='03.Muestra'!$D$8:$D$42,ROW('03.Muestra'!$B$8:$B$42)-MIN(ROW('03.Muestra'!$D$8:$D$42))+1,""),ROW()-816)),"")</f>
        <v>14</v>
      </c>
      <c r="B830" s="85" t="str" cm="1">
        <f t="array" ref="B830">IFERROR(INDEX('03.Muestra'!$C$8:$C$42,SMALL(IF("Página Web"='03.Muestra'!$D$8:$D$42,ROW('03.Muestra'!$C$8:$C$42)-MIN(ROW('03.Muestra'!$D$8:$D$42))+1,""),ROW()-816)),"")</f>
        <v>Ley D'Hondt</v>
      </c>
      <c r="C830" s="85" t="str" cm="1">
        <f t="array" ref="C830">IFERROR(INDEX('03.Muestra'!$F$8:$F$42,SMALL(IF("Página Web"='03.Muestra'!$D$8:$D$42,ROW('03.Muestra'!$F$8:$F$42)-MIN(ROW('03.Muestra'!$D$8:$D$42))+1,""),ROW()-816)),"")</f>
        <v>https://elecciones.comunidad.madrid/es/resultados/ley_d_hondt</v>
      </c>
      <c r="D830" s="99" t="s">
        <v>184</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cm="1">
        <f t="array" ref="A831">IFERROR(INDEX('03.Muestra'!$B$8:$B$42,SMALL(IF("Página Web"='03.Muestra'!$D$8:$D$42,ROW('03.Muestra'!$B$8:$B$42)-MIN(ROW('03.Muestra'!$D$8:$D$42))+1,""),ROW()-816)),"")</f>
        <v>15</v>
      </c>
      <c r="B831" s="85" t="str" cm="1">
        <f t="array" ref="B831">IFERROR(INDEX('03.Muestra'!$C$8:$C$42,SMALL(IF("Página Web"='03.Muestra'!$D$8:$D$42,ROW('03.Muestra'!$C$8:$C$42)-MIN(ROW('03.Muestra'!$D$8:$D$42))+1,""),ROW()-816)),"")</f>
        <v>Voto por correo elector CERA en España</v>
      </c>
      <c r="C831" s="85" t="str" cm="1">
        <f t="array" ref="C831">IFERROR(INDEX('03.Muestra'!$F$8:$F$42,SMALL(IF("Página Web"='03.Muestra'!$D$8:$D$42,ROW('03.Muestra'!$F$8:$F$42)-MIN(ROW('03.Muestra'!$D$8:$D$42))+1,""),ROW()-816)),"")</f>
        <v>https://elecciones.comunidad.madrid/es/preguntas-frecuentes/voto-correo-electores-residentes-extranjero</v>
      </c>
      <c r="D831" s="99" t="s">
        <v>184</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cm="1">
        <f t="array" ref="A832">IFERROR(INDEX('03.Muestra'!$B$8:$B$42,SMALL(IF("Página Web"='03.Muestra'!$D$8:$D$42,ROW('03.Muestra'!$B$8:$B$42)-MIN(ROW('03.Muestra'!$D$8:$D$42))+1,""),ROW()-816)),"")</f>
        <v>16</v>
      </c>
      <c r="B832" s="85" t="str" cm="1">
        <f t="array" ref="B832">IFERROR(INDEX('03.Muestra'!$C$8:$C$42,SMALL(IF("Página Web"='03.Muestra'!$D$8:$D$42,ROW('03.Muestra'!$C$8:$C$42)-MIN(ROW('03.Muestra'!$D$8:$D$42))+1,""),ROW()-816)),"")</f>
        <v>Contacto</v>
      </c>
      <c r="C832" s="85" t="str" cm="1">
        <f t="array" ref="C832">IFERROR(INDEX('03.Muestra'!$F$8:$F$42,SMALL(IF("Página Web"='03.Muestra'!$D$8:$D$42,ROW('03.Muestra'!$F$8:$F$42)-MIN(ROW('03.Muestra'!$D$8:$D$42))+1,""),ROW()-816)),"")</f>
        <v>https://elecciones.comunidad.madrid/es/buzon-de-sugerencias</v>
      </c>
      <c r="D832" s="99" t="s">
        <v>184</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cm="1">
        <f t="array" ref="A833">IFERROR(INDEX('03.Muestra'!$B$8:$B$42,SMALL(IF("Página Web"='03.Muestra'!$D$8:$D$42,ROW('03.Muestra'!$B$8:$B$42)-MIN(ROW('03.Muestra'!$D$8:$D$42))+1,""),ROW()-816)),"")</f>
        <v>17</v>
      </c>
      <c r="B833" s="85" t="str" cm="1">
        <f t="array" ref="B833">IFERROR(INDEX('03.Muestra'!$C$8:$C$42,SMALL(IF("Página Web"='03.Muestra'!$D$8:$D$42,ROW('03.Muestra'!$C$8:$C$42)-MIN(ROW('03.Muestra'!$D$8:$D$42))+1,""),ROW()-816)),"")</f>
        <v>Buscador</v>
      </c>
      <c r="C833" s="85" t="str" cm="1">
        <f t="array" ref="C833">IFERROR(INDEX('03.Muestra'!$F$8:$F$42,SMALL(IF("Página Web"='03.Muestra'!$D$8:$D$42,ROW('03.Muestra'!$F$8:$F$42)-MIN(ROW('03.Muestra'!$D$8:$D$42))+1,""),ROW()-816)),"")</f>
        <v>https://elecciones.comunidad.madrid/es/search?search_api_fulltext=partido</v>
      </c>
      <c r="D833" s="99" t="s">
        <v>184</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cm="1">
        <f t="array" ref="A834">IFERROR(INDEX('03.Muestra'!$B$8:$B$42,SMALL(IF("Página Web"='03.Muestra'!$D$8:$D$42,ROW('03.Muestra'!$B$8:$B$42)-MIN(ROW('03.Muestra'!$D$8:$D$42))+1,""),ROW()-816)),"")</f>
        <v>18</v>
      </c>
      <c r="B834" s="85" t="str" cm="1">
        <f t="array" ref="B834">IFERROR(INDEX('03.Muestra'!$C$8:$C$42,SMALL(IF("Página Web"='03.Muestra'!$D$8:$D$42,ROW('03.Muestra'!$C$8:$C$42)-MIN(ROW('03.Muestra'!$D$8:$D$42))+1,""),ROW()-816)),"")</f>
        <v>Aviso Legal-Privacidad</v>
      </c>
      <c r="C834" s="85" t="str" cm="1">
        <f t="array" ref="C834">IFERROR(INDEX('03.Muestra'!$F$8:$F$42,SMALL(IF("Página Web"='03.Muestra'!$D$8:$D$42,ROW('03.Muestra'!$F$8:$F$42)-MIN(ROW('03.Muestra'!$D$8:$D$42))+1,""),ROW()-816)),"")</f>
        <v>https://elecciones.comunidad.madrid/es/aviso-legal</v>
      </c>
      <c r="D834" s="99" t="s">
        <v>184</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cm="1">
        <f t="array" ref="A835">IFERROR(INDEX('03.Muestra'!$B$8:$B$42,SMALL(IF("Página Web"='03.Muestra'!$D$8:$D$42,ROW('03.Muestra'!$B$8:$B$42)-MIN(ROW('03.Muestra'!$D$8:$D$42))+1,""),ROW()-816)),"")</f>
        <v>19</v>
      </c>
      <c r="B835" s="85" t="str" cm="1">
        <f t="array" ref="B835">IFERROR(INDEX('03.Muestra'!$C$8:$C$42,SMALL(IF("Página Web"='03.Muestra'!$D$8:$D$42,ROW('03.Muestra'!$C$8:$C$42)-MIN(ROW('03.Muestra'!$D$8:$D$42))+1,""),ROW()-816)),"")</f>
        <v>Mapa Web</v>
      </c>
      <c r="C835" s="85" t="str" cm="1">
        <f t="array" ref="C835">IFERROR(INDEX('03.Muestra'!$F$8:$F$42,SMALL(IF("Página Web"='03.Muestra'!$D$8:$D$42,ROW('03.Muestra'!$F$8:$F$42)-MIN(ROW('03.Muestra'!$D$8:$D$42))+1,""),ROW()-816)),"")</f>
        <v>https://elecciones.comunidad.madrid/es/sitemap</v>
      </c>
      <c r="D835" s="99" t="s">
        <v>184</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cm="1">
        <f t="array" ref="A836">IFERROR(INDEX('03.Muestra'!$B$8:$B$42,SMALL(IF("Página Web"='03.Muestra'!$D$8:$D$42,ROW('03.Muestra'!$B$8:$B$42)-MIN(ROW('03.Muestra'!$D$8:$D$42))+1,""),ROW()-816)),"")</f>
        <v>20</v>
      </c>
      <c r="B836" s="85" t="str" cm="1">
        <f t="array" ref="B836">IFERROR(INDEX('03.Muestra'!$C$8:$C$42,SMALL(IF("Página Web"='03.Muestra'!$D$8:$D$42,ROW('03.Muestra'!$C$8:$C$42)-MIN(ROW('03.Muestra'!$D$8:$D$42))+1,""),ROW()-816)),"")</f>
        <v>Declaracion Accesibilidad</v>
      </c>
      <c r="C836" s="85" t="str" cm="1">
        <f t="array" ref="C836">IFERROR(INDEX('03.Muestra'!$F$8:$F$42,SMALL(IF("Página Web"='03.Muestra'!$D$8:$D$42,ROW('03.Muestra'!$F$8:$F$42)-MIN(ROW('03.Muestra'!$D$8:$D$42))+1,""),ROW()-816)),"")</f>
        <v>https://elecciones.comunidad.madrid/es/accesibilidad</v>
      </c>
      <c r="D836" s="99" t="s">
        <v>184</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ref="D837:D851" si="43">IF(AND(B837&lt;&gt;"",C837&lt;&gt;""),"N/T","")</f>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181</v>
      </c>
      <c r="B854" s="23" t="s">
        <v>173</v>
      </c>
      <c r="C854" s="24" t="s">
        <v>246</v>
      </c>
      <c r="D854" s="25" t="s">
        <v>183</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Inicio</v>
      </c>
      <c r="C855" s="85" t="str" cm="1">
        <f t="array" ref="C855">IFERROR(INDEX('03.Muestra'!$F$8:$F$42,SMALL(IF("Página Web"='03.Muestra'!$D$8:$D$42,ROW('03.Muestra'!$F$8:$F$42)-MIN(ROW('03.Muestra'!$D$8:$D$42))+1,""),ROW()-854)),"")</f>
        <v>https://elecciones.comunidad.madrid/es</v>
      </c>
      <c r="D855" s="99" t="s">
        <v>174</v>
      </c>
      <c r="E855" s="79" t="str">
        <f t="shared" ref="E855:E889" si="44">IF(D855&lt;&gt;"",IF(AND(B855&lt;&gt;"",C855&lt;&gt;""),"","ERR"),"")</f>
        <v/>
      </c>
      <c r="F855" s="86" t="s">
        <v>185</v>
      </c>
      <c r="G855" s="87" t="s">
        <v>186</v>
      </c>
      <c r="H855" s="88" t="s">
        <v>184</v>
      </c>
      <c r="I855" s="89" t="s">
        <v>176</v>
      </c>
      <c r="J855" s="90" t="s">
        <v>174</v>
      </c>
      <c r="K855" s="179" t="s">
        <v>180</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Resultado Elecciones 28M 2023</v>
      </c>
      <c r="C856" s="85" t="str" cm="1">
        <f t="array" ref="C856">IFERROR(INDEX('03.Muestra'!$F$8:$F$42,SMALL(IF("Página Web"='03.Muestra'!$D$8:$D$42,ROW('03.Muestra'!$F$8:$F$42)-MIN(ROW('03.Muestra'!$D$8:$D$42))+1,""),ROW()-854)),"")</f>
        <v>https://elecciones.comunidad.madrid/es/resultados-elecciones-asamblea-madrid-28m-2023</v>
      </c>
      <c r="D856" s="99" t="s">
        <v>174</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20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Normativa electoral</v>
      </c>
      <c r="C857" s="85" t="str" cm="1">
        <f t="array" ref="C857">IFERROR(INDEX('03.Muestra'!$F$8:$F$42,SMALL(IF("Página Web"='03.Muestra'!$D$8:$D$42,ROW('03.Muestra'!$F$8:$F$42)-MIN(ROW('03.Muestra'!$D$8:$D$42))+1,""),ROW()-854)),"")</f>
        <v>https://elecciones.comunidad.madrid/es/informacion-electoral/normativa-electoral</v>
      </c>
      <c r="D857" s="99" t="s">
        <v>174</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Calendario electoral</v>
      </c>
      <c r="C858" s="85" t="str" cm="1">
        <f t="array" ref="C858">IFERROR(INDEX('03.Muestra'!$F$8:$F$42,SMALL(IF("Página Web"='03.Muestra'!$D$8:$D$42,ROW('03.Muestra'!$F$8:$F$42)-MIN(ROW('03.Muestra'!$D$8:$D$42))+1,""),ROW()-854)),"")</f>
        <v>https://elecciones.comunidad.madrid/es/informacion-electoral/calendario-electoral</v>
      </c>
      <c r="D858" s="99" t="s">
        <v>174</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Direcciones y teléfonos</v>
      </c>
      <c r="C859" s="85" t="str" cm="1">
        <f t="array" ref="C859">IFERROR(INDEX('03.Muestra'!$F$8:$F$42,SMALL(IF("Página Web"='03.Muestra'!$D$8:$D$42,ROW('03.Muestra'!$F$8:$F$42)-MIN(ROW('03.Muestra'!$D$8:$D$42))+1,""),ROW()-854)),"")</f>
        <v>https://elecciones.comunidad.madrid/es/juntas-electorales/direcciones-telefonos</v>
      </c>
      <c r="D859" s="99" t="s">
        <v>174</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Impresos electrónicos</v>
      </c>
      <c r="C860" s="85" t="str" cm="1">
        <f t="array" ref="C860">IFERROR(INDEX('03.Muestra'!$F$8:$F$42,SMALL(IF("Página Web"='03.Muestra'!$D$8:$D$42,ROW('03.Muestra'!$F$8:$F$42)-MIN(ROW('03.Muestra'!$D$8:$D$42))+1,""),ROW()-854)),"")</f>
        <v>https://elecciones.comunidad.madrid/es/formaciones-politicas/impresos-electronicos</v>
      </c>
      <c r="D860" s="99" t="s">
        <v>174</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Listado de candidaturas</v>
      </c>
      <c r="C861" s="85" t="str" cm="1">
        <f t="array" ref="C861">IFERROR(INDEX('03.Muestra'!$F$8:$F$42,SMALL(IF("Página Web"='03.Muestra'!$D$8:$D$42,ROW('03.Muestra'!$F$8:$F$42)-MIN(ROW('03.Muestra'!$D$8:$D$42))+1,""),ROW()-854)),"")</f>
        <v>https://elecciones.comunidad.madrid/es/formaciones-politicas/listado-candidaturas-proclamadas</v>
      </c>
      <c r="D861" s="99" t="s">
        <v>174</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Partido Feminista de España</v>
      </c>
      <c r="C862" s="85" t="str" cm="1">
        <f t="array" ref="C862">IFERROR(INDEX('03.Muestra'!$F$8:$F$42,SMALL(IF("Página Web"='03.Muestra'!$D$8:$D$42,ROW('03.Muestra'!$F$8:$F$42)-MIN(ROW('03.Muestra'!$D$8:$D$42))+1,""),ROW()-854)),"")</f>
        <v>https://elecciones.comunidad.madrid/es/formaciones-politicas/listado-candidaturas/partido-feminista-espana</v>
      </c>
      <c r="D862" s="99" t="s">
        <v>174</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cm="1">
        <f t="array" ref="A863">IFERROR(INDEX('03.Muestra'!$B$8:$B$42,SMALL(IF("Página Web"='03.Muestra'!$D$8:$D$42,ROW('03.Muestra'!$B$8:$B$42)-MIN(ROW('03.Muestra'!$D$8:$D$42))+1,""),ROW()-854)),"")</f>
        <v>9</v>
      </c>
      <c r="B863" s="85" t="str" cm="1">
        <f t="array" ref="B863">IFERROR(INDEX('03.Muestra'!$C$8:$C$42,SMALL(IF("Página Web"='03.Muestra'!$D$8:$D$42,ROW('03.Muestra'!$C$8:$C$42)-MIN(ROW('03.Muestra'!$D$8:$D$42))+1,""),ROW()-854)),"")</f>
        <v>¿Dónde voto?</v>
      </c>
      <c r="C863" s="85" t="str" cm="1">
        <f t="array" ref="C863">IFERROR(INDEX('03.Muestra'!$F$8:$F$42,SMALL(IF("Página Web"='03.Muestra'!$D$8:$D$42,ROW('03.Muestra'!$F$8:$F$42)-MIN(ROW('03.Muestra'!$D$8:$D$42))+1,""),ROW()-854)),"")</f>
        <v>https://elecciones.comunidad.madrid/es/votar/donde-voto</v>
      </c>
      <c r="D863" s="99" t="s">
        <v>174</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cm="1">
        <f t="array" ref="A864">IFERROR(INDEX('03.Muestra'!$B$8:$B$42,SMALL(IF("Página Web"='03.Muestra'!$D$8:$D$42,ROW('03.Muestra'!$B$8:$B$42)-MIN(ROW('03.Muestra'!$D$8:$D$42))+1,""),ROW()-854)),"")</f>
        <v>10</v>
      </c>
      <c r="B864" s="85" t="str" cm="1">
        <f t="array" ref="B864">IFERROR(INDEX('03.Muestra'!$C$8:$C$42,SMALL(IF("Página Web"='03.Muestra'!$D$8:$D$42,ROW('03.Muestra'!$C$8:$C$42)-MIN(ROW('03.Muestra'!$D$8:$D$42))+1,""),ROW()-854)),"")</f>
        <v>Voto presencial</v>
      </c>
      <c r="C864" s="85" t="str" cm="1">
        <f t="array" ref="C864">IFERROR(INDEX('03.Muestra'!$F$8:$F$42,SMALL(IF("Página Web"='03.Muestra'!$D$8:$D$42,ROW('03.Muestra'!$F$8:$F$42)-MIN(ROW('03.Muestra'!$D$8:$D$42))+1,""),ROW()-854)),"")</f>
        <v>https://elecciones.comunidad.madrid/es/voto-local-electoral/voto-presencial</v>
      </c>
      <c r="D864" s="99" t="s">
        <v>174</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cm="1">
        <f t="array" ref="A865">IFERROR(INDEX('03.Muestra'!$B$8:$B$42,SMALL(IF("Página Web"='03.Muestra'!$D$8:$D$42,ROW('03.Muestra'!$B$8:$B$42)-MIN(ROW('03.Muestra'!$D$8:$D$42))+1,""),ROW()-854)),"")</f>
        <v>11</v>
      </c>
      <c r="B865" s="85" t="str" cm="1">
        <f t="array" ref="B865">IFERROR(INDEX('03.Muestra'!$C$8:$C$42,SMALL(IF("Página Web"='03.Muestra'!$D$8:$D$42,ROW('03.Muestra'!$C$8:$C$42)-MIN(ROW('03.Muestra'!$D$8:$D$42))+1,""),ROW()-854)),"")</f>
        <v>Ciudadanos temporalmente en el extranjero</v>
      </c>
      <c r="C865" s="85" t="str" cm="1">
        <f t="array" ref="C865">IFERROR(INDEX('03.Muestra'!$F$8:$F$42,SMALL(IF("Página Web"='03.Muestra'!$D$8:$D$42,ROW('03.Muestra'!$F$8:$F$42)-MIN(ROW('03.Muestra'!$D$8:$D$42))+1,""),ROW()-854)),"")</f>
        <v>https://elecciones.comunidad.madrid/es/voto-correo/solicitud-voto-temporalmente-ausentes</v>
      </c>
      <c r="D865" s="99" t="s">
        <v>174</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cm="1">
        <f t="array" ref="A866">IFERROR(INDEX('03.Muestra'!$B$8:$B$42,SMALL(IF("Página Web"='03.Muestra'!$D$8:$D$42,ROW('03.Muestra'!$B$8:$B$42)-MIN(ROW('03.Muestra'!$D$8:$D$42))+1,""),ROW()-854)),"")</f>
        <v>12</v>
      </c>
      <c r="B866" s="85" t="str" cm="1">
        <f t="array" ref="B866">IFERROR(INDEX('03.Muestra'!$C$8:$C$42,SMALL(IF("Página Web"='03.Muestra'!$D$8:$D$42,ROW('03.Muestra'!$C$8:$C$42)-MIN(ROW('03.Muestra'!$D$8:$D$42))+1,""),ROW()-854)),"")</f>
        <v>Nuevo votante</v>
      </c>
      <c r="C866" s="85" t="str" cm="1">
        <f t="array" ref="C866">IFERROR(INDEX('03.Muestra'!$F$8:$F$42,SMALL(IF("Página Web"='03.Muestra'!$D$8:$D$42,ROW('03.Muestra'!$F$8:$F$42)-MIN(ROW('03.Muestra'!$D$8:$D$42))+1,""),ROW()-854)),"")</f>
        <v>https://elecciones.comunidad.madrid/es/votar/nuevo-votante</v>
      </c>
      <c r="D866" s="99" t="s">
        <v>174</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cm="1">
        <f t="array" ref="A867">IFERROR(INDEX('03.Muestra'!$B$8:$B$42,SMALL(IF("Página Web"='03.Muestra'!$D$8:$D$42,ROW('03.Muestra'!$B$8:$B$42)-MIN(ROW('03.Muestra'!$D$8:$D$42))+1,""),ROW()-854)),"")</f>
        <v>13</v>
      </c>
      <c r="B867" s="85" t="str" cm="1">
        <f t="array" ref="B867">IFERROR(INDEX('03.Muestra'!$C$8:$C$42,SMALL(IF("Página Web"='03.Muestra'!$D$8:$D$42,ROW('03.Muestra'!$C$8:$C$42)-MIN(ROW('03.Muestra'!$D$8:$D$42))+1,""),ROW()-854)),"")</f>
        <v>Simulación método D'Hondt</v>
      </c>
      <c r="C867" s="85" t="str" cm="1">
        <f t="array" ref="C867">IFERROR(INDEX('03.Muestra'!$F$8:$F$42,SMALL(IF("Página Web"='03.Muestra'!$D$8:$D$42,ROW('03.Muestra'!$F$8:$F$42)-MIN(ROW('03.Muestra'!$D$8:$D$42))+1,""),ROW()-854)),"")</f>
        <v>https://elecciones.comunidad.madrid/es/informacion-util/simulacion-metodo-dhondt</v>
      </c>
      <c r="D867" s="99" t="s">
        <v>174</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cm="1">
        <f t="array" ref="A868">IFERROR(INDEX('03.Muestra'!$B$8:$B$42,SMALL(IF("Página Web"='03.Muestra'!$D$8:$D$42,ROW('03.Muestra'!$B$8:$B$42)-MIN(ROW('03.Muestra'!$D$8:$D$42))+1,""),ROW()-854)),"")</f>
        <v>14</v>
      </c>
      <c r="B868" s="85" t="str" cm="1">
        <f t="array" ref="B868">IFERROR(INDEX('03.Muestra'!$C$8:$C$42,SMALL(IF("Página Web"='03.Muestra'!$D$8:$D$42,ROW('03.Muestra'!$C$8:$C$42)-MIN(ROW('03.Muestra'!$D$8:$D$42))+1,""),ROW()-854)),"")</f>
        <v>Ley D'Hondt</v>
      </c>
      <c r="C868" s="85" t="str" cm="1">
        <f t="array" ref="C868">IFERROR(INDEX('03.Muestra'!$F$8:$F$42,SMALL(IF("Página Web"='03.Muestra'!$D$8:$D$42,ROW('03.Muestra'!$F$8:$F$42)-MIN(ROW('03.Muestra'!$D$8:$D$42))+1,""),ROW()-854)),"")</f>
        <v>https://elecciones.comunidad.madrid/es/resultados/ley_d_hondt</v>
      </c>
      <c r="D868" s="99" t="s">
        <v>174</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cm="1">
        <f t="array" ref="A869">IFERROR(INDEX('03.Muestra'!$B$8:$B$42,SMALL(IF("Página Web"='03.Muestra'!$D$8:$D$42,ROW('03.Muestra'!$B$8:$B$42)-MIN(ROW('03.Muestra'!$D$8:$D$42))+1,""),ROW()-854)),"")</f>
        <v>15</v>
      </c>
      <c r="B869" s="85" t="str" cm="1">
        <f t="array" ref="B869">IFERROR(INDEX('03.Muestra'!$C$8:$C$42,SMALL(IF("Página Web"='03.Muestra'!$D$8:$D$42,ROW('03.Muestra'!$C$8:$C$42)-MIN(ROW('03.Muestra'!$D$8:$D$42))+1,""),ROW()-854)),"")</f>
        <v>Voto por correo elector CERA en España</v>
      </c>
      <c r="C869" s="85" t="str" cm="1">
        <f t="array" ref="C869">IFERROR(INDEX('03.Muestra'!$F$8:$F$42,SMALL(IF("Página Web"='03.Muestra'!$D$8:$D$42,ROW('03.Muestra'!$F$8:$F$42)-MIN(ROW('03.Muestra'!$D$8:$D$42))+1,""),ROW()-854)),"")</f>
        <v>https://elecciones.comunidad.madrid/es/preguntas-frecuentes/voto-correo-electores-residentes-extranjero</v>
      </c>
      <c r="D869" s="99" t="s">
        <v>174</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cm="1">
        <f t="array" ref="A870">IFERROR(INDEX('03.Muestra'!$B$8:$B$42,SMALL(IF("Página Web"='03.Muestra'!$D$8:$D$42,ROW('03.Muestra'!$B$8:$B$42)-MIN(ROW('03.Muestra'!$D$8:$D$42))+1,""),ROW()-854)),"")</f>
        <v>16</v>
      </c>
      <c r="B870" s="85" t="str" cm="1">
        <f t="array" ref="B870">IFERROR(INDEX('03.Muestra'!$C$8:$C$42,SMALL(IF("Página Web"='03.Muestra'!$D$8:$D$42,ROW('03.Muestra'!$C$8:$C$42)-MIN(ROW('03.Muestra'!$D$8:$D$42))+1,""),ROW()-854)),"")</f>
        <v>Contacto</v>
      </c>
      <c r="C870" s="85" t="str" cm="1">
        <f t="array" ref="C870">IFERROR(INDEX('03.Muestra'!$F$8:$F$42,SMALL(IF("Página Web"='03.Muestra'!$D$8:$D$42,ROW('03.Muestra'!$F$8:$F$42)-MIN(ROW('03.Muestra'!$D$8:$D$42))+1,""),ROW()-854)),"")</f>
        <v>https://elecciones.comunidad.madrid/es/buzon-de-sugerencias</v>
      </c>
      <c r="D870" s="99" t="s">
        <v>174</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cm="1">
        <f t="array" ref="A871">IFERROR(INDEX('03.Muestra'!$B$8:$B$42,SMALL(IF("Página Web"='03.Muestra'!$D$8:$D$42,ROW('03.Muestra'!$B$8:$B$42)-MIN(ROW('03.Muestra'!$D$8:$D$42))+1,""),ROW()-854)),"")</f>
        <v>17</v>
      </c>
      <c r="B871" s="85" t="str" cm="1">
        <f t="array" ref="B871">IFERROR(INDEX('03.Muestra'!$C$8:$C$42,SMALL(IF("Página Web"='03.Muestra'!$D$8:$D$42,ROW('03.Muestra'!$C$8:$C$42)-MIN(ROW('03.Muestra'!$D$8:$D$42))+1,""),ROW()-854)),"")</f>
        <v>Buscador</v>
      </c>
      <c r="C871" s="85" t="str" cm="1">
        <f t="array" ref="C871">IFERROR(INDEX('03.Muestra'!$F$8:$F$42,SMALL(IF("Página Web"='03.Muestra'!$D$8:$D$42,ROW('03.Muestra'!$F$8:$F$42)-MIN(ROW('03.Muestra'!$D$8:$D$42))+1,""),ROW()-854)),"")</f>
        <v>https://elecciones.comunidad.madrid/es/search?search_api_fulltext=partido</v>
      </c>
      <c r="D871" s="99" t="s">
        <v>174</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cm="1">
        <f t="array" ref="A872">IFERROR(INDEX('03.Muestra'!$B$8:$B$42,SMALL(IF("Página Web"='03.Muestra'!$D$8:$D$42,ROW('03.Muestra'!$B$8:$B$42)-MIN(ROW('03.Muestra'!$D$8:$D$42))+1,""),ROW()-854)),"")</f>
        <v>18</v>
      </c>
      <c r="B872" s="85" t="str" cm="1">
        <f t="array" ref="B872">IFERROR(INDEX('03.Muestra'!$C$8:$C$42,SMALL(IF("Página Web"='03.Muestra'!$D$8:$D$42,ROW('03.Muestra'!$C$8:$C$42)-MIN(ROW('03.Muestra'!$D$8:$D$42))+1,""),ROW()-854)),"")</f>
        <v>Aviso Legal-Privacidad</v>
      </c>
      <c r="C872" s="85" t="str" cm="1">
        <f t="array" ref="C872">IFERROR(INDEX('03.Muestra'!$F$8:$F$42,SMALL(IF("Página Web"='03.Muestra'!$D$8:$D$42,ROW('03.Muestra'!$F$8:$F$42)-MIN(ROW('03.Muestra'!$D$8:$D$42))+1,""),ROW()-854)),"")</f>
        <v>https://elecciones.comunidad.madrid/es/aviso-legal</v>
      </c>
      <c r="D872" s="99" t="s">
        <v>174</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cm="1">
        <f t="array" ref="A873">IFERROR(INDEX('03.Muestra'!$B$8:$B$42,SMALL(IF("Página Web"='03.Muestra'!$D$8:$D$42,ROW('03.Muestra'!$B$8:$B$42)-MIN(ROW('03.Muestra'!$D$8:$D$42))+1,""),ROW()-854)),"")</f>
        <v>19</v>
      </c>
      <c r="B873" s="85" t="str" cm="1">
        <f t="array" ref="B873">IFERROR(INDEX('03.Muestra'!$C$8:$C$42,SMALL(IF("Página Web"='03.Muestra'!$D$8:$D$42,ROW('03.Muestra'!$C$8:$C$42)-MIN(ROW('03.Muestra'!$D$8:$D$42))+1,""),ROW()-854)),"")</f>
        <v>Mapa Web</v>
      </c>
      <c r="C873" s="85" t="str" cm="1">
        <f t="array" ref="C873">IFERROR(INDEX('03.Muestra'!$F$8:$F$42,SMALL(IF("Página Web"='03.Muestra'!$D$8:$D$42,ROW('03.Muestra'!$F$8:$F$42)-MIN(ROW('03.Muestra'!$D$8:$D$42))+1,""),ROW()-854)),"")</f>
        <v>https://elecciones.comunidad.madrid/es/sitemap</v>
      </c>
      <c r="D873" s="99" t="s">
        <v>174</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cm="1">
        <f t="array" ref="A874">IFERROR(INDEX('03.Muestra'!$B$8:$B$42,SMALL(IF("Página Web"='03.Muestra'!$D$8:$D$42,ROW('03.Muestra'!$B$8:$B$42)-MIN(ROW('03.Muestra'!$D$8:$D$42))+1,""),ROW()-854)),"")</f>
        <v>20</v>
      </c>
      <c r="B874" s="85" t="str" cm="1">
        <f t="array" ref="B874">IFERROR(INDEX('03.Muestra'!$C$8:$C$42,SMALL(IF("Página Web"='03.Muestra'!$D$8:$D$42,ROW('03.Muestra'!$C$8:$C$42)-MIN(ROW('03.Muestra'!$D$8:$D$42))+1,""),ROW()-854)),"")</f>
        <v>Declaracion Accesibilidad</v>
      </c>
      <c r="C874" s="85" t="str" cm="1">
        <f t="array" ref="C874">IFERROR(INDEX('03.Muestra'!$F$8:$F$42,SMALL(IF("Página Web"='03.Muestra'!$D$8:$D$42,ROW('03.Muestra'!$F$8:$F$42)-MIN(ROW('03.Muestra'!$D$8:$D$42))+1,""),ROW()-854)),"")</f>
        <v>https://elecciones.comunidad.madrid/es/accesibilidad</v>
      </c>
      <c r="D874" s="99" t="s">
        <v>174</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ref="D875:D889" si="45">IF(AND(B875&lt;&gt;"",C875&lt;&gt;""),"N/T","")</f>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181</v>
      </c>
      <c r="B892" s="23" t="s">
        <v>173</v>
      </c>
      <c r="C892" s="24" t="s">
        <v>247</v>
      </c>
      <c r="D892" s="25" t="s">
        <v>183</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Inicio</v>
      </c>
      <c r="C893" s="85" t="str" cm="1">
        <f t="array" ref="C893">IFERROR(INDEX('03.Muestra'!$F$8:$F$42,SMALL(IF("Página Web"='03.Muestra'!$D$8:$D$42,ROW('03.Muestra'!$F$8:$F$42)-MIN(ROW('03.Muestra'!$D$8:$D$42))+1,""),ROW()-892)),"")</f>
        <v>https://elecciones.comunidad.madrid/es</v>
      </c>
      <c r="D893" s="99" t="s">
        <v>184</v>
      </c>
      <c r="E893" s="79" t="str">
        <f t="shared" ref="E893:E927" si="46">IF(D893&lt;&gt;"",IF(AND(B893&lt;&gt;"",C893&lt;&gt;""),"","ERR"),"")</f>
        <v/>
      </c>
      <c r="F893" s="86" t="s">
        <v>185</v>
      </c>
      <c r="G893" s="87" t="s">
        <v>186</v>
      </c>
      <c r="H893" s="88" t="s">
        <v>184</v>
      </c>
      <c r="I893" s="89" t="s">
        <v>176</v>
      </c>
      <c r="J893" s="90" t="s">
        <v>174</v>
      </c>
      <c r="K893" s="179" t="s">
        <v>180</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Resultado Elecciones 28M 2023</v>
      </c>
      <c r="C894" s="85" t="str" cm="1">
        <f t="array" ref="C894">IFERROR(INDEX('03.Muestra'!$F$8:$F$42,SMALL(IF("Página Web"='03.Muestra'!$D$8:$D$42,ROW('03.Muestra'!$F$8:$F$42)-MIN(ROW('03.Muestra'!$D$8:$D$42))+1,""),ROW()-892)),"")</f>
        <v>https://elecciones.comunidad.madrid/es/resultados-elecciones-asamblea-madrid-28m-2023</v>
      </c>
      <c r="D894" s="99" t="s">
        <v>184</v>
      </c>
      <c r="E894" s="79" t="str">
        <f t="shared" si="46"/>
        <v/>
      </c>
      <c r="F894" s="91">
        <f ca="1">COUNTIF($D893:INDIRECT("$D" &amp;  SUM(ROW()-1,'03.Muestra'!$D$45)-1),F893)</f>
        <v>0</v>
      </c>
      <c r="G894" s="91">
        <f ca="1">COUNTIF($D893:INDIRECT("$D" &amp;  SUM(ROW()-1,'03.Muestra'!$D$45)-1),G893)</f>
        <v>0</v>
      </c>
      <c r="H894" s="91">
        <f ca="1">COUNTIF($D893:INDIRECT("$D" &amp;  SUM(ROW()-1,'03.Muestra'!$D$45)-1),H893)</f>
        <v>20</v>
      </c>
      <c r="I894" s="91">
        <f ca="1">COUNTIF($D893:INDIRECT("$D" &amp;  SUM(ROW()-1,'03.Muestra'!$D$45)-1),I893)</f>
        <v>0</v>
      </c>
      <c r="J894" s="91">
        <f ca="1">COUNTIF($D893:INDIRECT("$D" &amp;  SUM(ROW()-1,'03.Muestra'!$D$45)-1),J893)</f>
        <v>0</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Normativa electoral</v>
      </c>
      <c r="C895" s="85" t="str" cm="1">
        <f t="array" ref="C895">IFERROR(INDEX('03.Muestra'!$F$8:$F$42,SMALL(IF("Página Web"='03.Muestra'!$D$8:$D$42,ROW('03.Muestra'!$F$8:$F$42)-MIN(ROW('03.Muestra'!$D$8:$D$42))+1,""),ROW()-892)),"")</f>
        <v>https://elecciones.comunidad.madrid/es/informacion-electoral/normativa-electoral</v>
      </c>
      <c r="D895" s="99" t="s">
        <v>184</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Calendario electoral</v>
      </c>
      <c r="C896" s="85" t="str" cm="1">
        <f t="array" ref="C896">IFERROR(INDEX('03.Muestra'!$F$8:$F$42,SMALL(IF("Página Web"='03.Muestra'!$D$8:$D$42,ROW('03.Muestra'!$F$8:$F$42)-MIN(ROW('03.Muestra'!$D$8:$D$42))+1,""),ROW()-892)),"")</f>
        <v>https://elecciones.comunidad.madrid/es/informacion-electoral/calendario-electoral</v>
      </c>
      <c r="D896" s="99" t="s">
        <v>184</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Direcciones y teléfonos</v>
      </c>
      <c r="C897" s="85" t="str" cm="1">
        <f t="array" ref="C897">IFERROR(INDEX('03.Muestra'!$F$8:$F$42,SMALL(IF("Página Web"='03.Muestra'!$D$8:$D$42,ROW('03.Muestra'!$F$8:$F$42)-MIN(ROW('03.Muestra'!$D$8:$D$42))+1,""),ROW()-892)),"")</f>
        <v>https://elecciones.comunidad.madrid/es/juntas-electorales/direcciones-telefonos</v>
      </c>
      <c r="D897" s="99" t="s">
        <v>184</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Impresos electrónicos</v>
      </c>
      <c r="C898" s="85" t="str" cm="1">
        <f t="array" ref="C898">IFERROR(INDEX('03.Muestra'!$F$8:$F$42,SMALL(IF("Página Web"='03.Muestra'!$D$8:$D$42,ROW('03.Muestra'!$F$8:$F$42)-MIN(ROW('03.Muestra'!$D$8:$D$42))+1,""),ROW()-892)),"")</f>
        <v>https://elecciones.comunidad.madrid/es/formaciones-politicas/impresos-electronicos</v>
      </c>
      <c r="D898" s="99" t="s">
        <v>184</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Listado de candidaturas</v>
      </c>
      <c r="C899" s="85" t="str" cm="1">
        <f t="array" ref="C899">IFERROR(INDEX('03.Muestra'!$F$8:$F$42,SMALL(IF("Página Web"='03.Muestra'!$D$8:$D$42,ROW('03.Muestra'!$F$8:$F$42)-MIN(ROW('03.Muestra'!$D$8:$D$42))+1,""),ROW()-892)),"")</f>
        <v>https://elecciones.comunidad.madrid/es/formaciones-politicas/listado-candidaturas-proclamadas</v>
      </c>
      <c r="D899" s="99" t="s">
        <v>184</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Partido Feminista de España</v>
      </c>
      <c r="C900" s="85" t="str" cm="1">
        <f t="array" ref="C900">IFERROR(INDEX('03.Muestra'!$F$8:$F$42,SMALL(IF("Página Web"='03.Muestra'!$D$8:$D$42,ROW('03.Muestra'!$F$8:$F$42)-MIN(ROW('03.Muestra'!$D$8:$D$42))+1,""),ROW()-892)),"")</f>
        <v>https://elecciones.comunidad.madrid/es/formaciones-politicas/listado-candidaturas/partido-feminista-espana</v>
      </c>
      <c r="D900" s="99" t="s">
        <v>184</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cm="1">
        <f t="array" ref="A901">IFERROR(INDEX('03.Muestra'!$B$8:$B$42,SMALL(IF("Página Web"='03.Muestra'!$D$8:$D$42,ROW('03.Muestra'!$B$8:$B$42)-MIN(ROW('03.Muestra'!$D$8:$D$42))+1,""),ROW()-892)),"")</f>
        <v>9</v>
      </c>
      <c r="B901" s="85" t="str" cm="1">
        <f t="array" ref="B901">IFERROR(INDEX('03.Muestra'!$C$8:$C$42,SMALL(IF("Página Web"='03.Muestra'!$D$8:$D$42,ROW('03.Muestra'!$C$8:$C$42)-MIN(ROW('03.Muestra'!$D$8:$D$42))+1,""),ROW()-892)),"")</f>
        <v>¿Dónde voto?</v>
      </c>
      <c r="C901" s="85" t="str" cm="1">
        <f t="array" ref="C901">IFERROR(INDEX('03.Muestra'!$F$8:$F$42,SMALL(IF("Página Web"='03.Muestra'!$D$8:$D$42,ROW('03.Muestra'!$F$8:$F$42)-MIN(ROW('03.Muestra'!$D$8:$D$42))+1,""),ROW()-892)),"")</f>
        <v>https://elecciones.comunidad.madrid/es/votar/donde-voto</v>
      </c>
      <c r="D901" s="99" t="s">
        <v>184</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cm="1">
        <f t="array" ref="A902">IFERROR(INDEX('03.Muestra'!$B$8:$B$42,SMALL(IF("Página Web"='03.Muestra'!$D$8:$D$42,ROW('03.Muestra'!$B$8:$B$42)-MIN(ROW('03.Muestra'!$D$8:$D$42))+1,""),ROW()-892)),"")</f>
        <v>10</v>
      </c>
      <c r="B902" s="85" t="str" cm="1">
        <f t="array" ref="B902">IFERROR(INDEX('03.Muestra'!$C$8:$C$42,SMALL(IF("Página Web"='03.Muestra'!$D$8:$D$42,ROW('03.Muestra'!$C$8:$C$42)-MIN(ROW('03.Muestra'!$D$8:$D$42))+1,""),ROW()-892)),"")</f>
        <v>Voto presencial</v>
      </c>
      <c r="C902" s="85" t="str" cm="1">
        <f t="array" ref="C902">IFERROR(INDEX('03.Muestra'!$F$8:$F$42,SMALL(IF("Página Web"='03.Muestra'!$D$8:$D$42,ROW('03.Muestra'!$F$8:$F$42)-MIN(ROW('03.Muestra'!$D$8:$D$42))+1,""),ROW()-892)),"")</f>
        <v>https://elecciones.comunidad.madrid/es/voto-local-electoral/voto-presencial</v>
      </c>
      <c r="D902" s="99" t="s">
        <v>184</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cm="1">
        <f t="array" ref="A903">IFERROR(INDEX('03.Muestra'!$B$8:$B$42,SMALL(IF("Página Web"='03.Muestra'!$D$8:$D$42,ROW('03.Muestra'!$B$8:$B$42)-MIN(ROW('03.Muestra'!$D$8:$D$42))+1,""),ROW()-892)),"")</f>
        <v>11</v>
      </c>
      <c r="B903" s="85" t="str" cm="1">
        <f t="array" ref="B903">IFERROR(INDEX('03.Muestra'!$C$8:$C$42,SMALL(IF("Página Web"='03.Muestra'!$D$8:$D$42,ROW('03.Muestra'!$C$8:$C$42)-MIN(ROW('03.Muestra'!$D$8:$D$42))+1,""),ROW()-892)),"")</f>
        <v>Ciudadanos temporalmente en el extranjero</v>
      </c>
      <c r="C903" s="85" t="str" cm="1">
        <f t="array" ref="C903">IFERROR(INDEX('03.Muestra'!$F$8:$F$42,SMALL(IF("Página Web"='03.Muestra'!$D$8:$D$42,ROW('03.Muestra'!$F$8:$F$42)-MIN(ROW('03.Muestra'!$D$8:$D$42))+1,""),ROW()-892)),"")</f>
        <v>https://elecciones.comunidad.madrid/es/voto-correo/solicitud-voto-temporalmente-ausentes</v>
      </c>
      <c r="D903" s="99" t="s">
        <v>184</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cm="1">
        <f t="array" ref="A904">IFERROR(INDEX('03.Muestra'!$B$8:$B$42,SMALL(IF("Página Web"='03.Muestra'!$D$8:$D$42,ROW('03.Muestra'!$B$8:$B$42)-MIN(ROW('03.Muestra'!$D$8:$D$42))+1,""),ROW()-892)),"")</f>
        <v>12</v>
      </c>
      <c r="B904" s="85" t="str" cm="1">
        <f t="array" ref="B904">IFERROR(INDEX('03.Muestra'!$C$8:$C$42,SMALL(IF("Página Web"='03.Muestra'!$D$8:$D$42,ROW('03.Muestra'!$C$8:$C$42)-MIN(ROW('03.Muestra'!$D$8:$D$42))+1,""),ROW()-892)),"")</f>
        <v>Nuevo votante</v>
      </c>
      <c r="C904" s="85" t="str" cm="1">
        <f t="array" ref="C904">IFERROR(INDEX('03.Muestra'!$F$8:$F$42,SMALL(IF("Página Web"='03.Muestra'!$D$8:$D$42,ROW('03.Muestra'!$F$8:$F$42)-MIN(ROW('03.Muestra'!$D$8:$D$42))+1,""),ROW()-892)),"")</f>
        <v>https://elecciones.comunidad.madrid/es/votar/nuevo-votante</v>
      </c>
      <c r="D904" s="99" t="s">
        <v>184</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cm="1">
        <f t="array" ref="A905">IFERROR(INDEX('03.Muestra'!$B$8:$B$42,SMALL(IF("Página Web"='03.Muestra'!$D$8:$D$42,ROW('03.Muestra'!$B$8:$B$42)-MIN(ROW('03.Muestra'!$D$8:$D$42))+1,""),ROW()-892)),"")</f>
        <v>13</v>
      </c>
      <c r="B905" s="85" t="str" cm="1">
        <f t="array" ref="B905">IFERROR(INDEX('03.Muestra'!$C$8:$C$42,SMALL(IF("Página Web"='03.Muestra'!$D$8:$D$42,ROW('03.Muestra'!$C$8:$C$42)-MIN(ROW('03.Muestra'!$D$8:$D$42))+1,""),ROW()-892)),"")</f>
        <v>Simulación método D'Hondt</v>
      </c>
      <c r="C905" s="85" t="str" cm="1">
        <f t="array" ref="C905">IFERROR(INDEX('03.Muestra'!$F$8:$F$42,SMALL(IF("Página Web"='03.Muestra'!$D$8:$D$42,ROW('03.Muestra'!$F$8:$F$42)-MIN(ROW('03.Muestra'!$D$8:$D$42))+1,""),ROW()-892)),"")</f>
        <v>https://elecciones.comunidad.madrid/es/informacion-util/simulacion-metodo-dhondt</v>
      </c>
      <c r="D905" s="99" t="s">
        <v>184</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cm="1">
        <f t="array" ref="A906">IFERROR(INDEX('03.Muestra'!$B$8:$B$42,SMALL(IF("Página Web"='03.Muestra'!$D$8:$D$42,ROW('03.Muestra'!$B$8:$B$42)-MIN(ROW('03.Muestra'!$D$8:$D$42))+1,""),ROW()-892)),"")</f>
        <v>14</v>
      </c>
      <c r="B906" s="85" t="str" cm="1">
        <f t="array" ref="B906">IFERROR(INDEX('03.Muestra'!$C$8:$C$42,SMALL(IF("Página Web"='03.Muestra'!$D$8:$D$42,ROW('03.Muestra'!$C$8:$C$42)-MIN(ROW('03.Muestra'!$D$8:$D$42))+1,""),ROW()-892)),"")</f>
        <v>Ley D'Hondt</v>
      </c>
      <c r="C906" s="85" t="str" cm="1">
        <f t="array" ref="C906">IFERROR(INDEX('03.Muestra'!$F$8:$F$42,SMALL(IF("Página Web"='03.Muestra'!$D$8:$D$42,ROW('03.Muestra'!$F$8:$F$42)-MIN(ROW('03.Muestra'!$D$8:$D$42))+1,""),ROW()-892)),"")</f>
        <v>https://elecciones.comunidad.madrid/es/resultados/ley_d_hondt</v>
      </c>
      <c r="D906" s="99" t="s">
        <v>184</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cm="1">
        <f t="array" ref="A907">IFERROR(INDEX('03.Muestra'!$B$8:$B$42,SMALL(IF("Página Web"='03.Muestra'!$D$8:$D$42,ROW('03.Muestra'!$B$8:$B$42)-MIN(ROW('03.Muestra'!$D$8:$D$42))+1,""),ROW()-892)),"")</f>
        <v>15</v>
      </c>
      <c r="B907" s="85" t="str" cm="1">
        <f t="array" ref="B907">IFERROR(INDEX('03.Muestra'!$C$8:$C$42,SMALL(IF("Página Web"='03.Muestra'!$D$8:$D$42,ROW('03.Muestra'!$C$8:$C$42)-MIN(ROW('03.Muestra'!$D$8:$D$42))+1,""),ROW()-892)),"")</f>
        <v>Voto por correo elector CERA en España</v>
      </c>
      <c r="C907" s="85" t="str" cm="1">
        <f t="array" ref="C907">IFERROR(INDEX('03.Muestra'!$F$8:$F$42,SMALL(IF("Página Web"='03.Muestra'!$D$8:$D$42,ROW('03.Muestra'!$F$8:$F$42)-MIN(ROW('03.Muestra'!$D$8:$D$42))+1,""),ROW()-892)),"")</f>
        <v>https://elecciones.comunidad.madrid/es/preguntas-frecuentes/voto-correo-electores-residentes-extranjero</v>
      </c>
      <c r="D907" s="99" t="s">
        <v>184</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cm="1">
        <f t="array" ref="A908">IFERROR(INDEX('03.Muestra'!$B$8:$B$42,SMALL(IF("Página Web"='03.Muestra'!$D$8:$D$42,ROW('03.Muestra'!$B$8:$B$42)-MIN(ROW('03.Muestra'!$D$8:$D$42))+1,""),ROW()-892)),"")</f>
        <v>16</v>
      </c>
      <c r="B908" s="85" t="str" cm="1">
        <f t="array" ref="B908">IFERROR(INDEX('03.Muestra'!$C$8:$C$42,SMALL(IF("Página Web"='03.Muestra'!$D$8:$D$42,ROW('03.Muestra'!$C$8:$C$42)-MIN(ROW('03.Muestra'!$D$8:$D$42))+1,""),ROW()-892)),"")</f>
        <v>Contacto</v>
      </c>
      <c r="C908" s="85" t="str" cm="1">
        <f t="array" ref="C908">IFERROR(INDEX('03.Muestra'!$F$8:$F$42,SMALL(IF("Página Web"='03.Muestra'!$D$8:$D$42,ROW('03.Muestra'!$F$8:$F$42)-MIN(ROW('03.Muestra'!$D$8:$D$42))+1,""),ROW()-892)),"")</f>
        <v>https://elecciones.comunidad.madrid/es/buzon-de-sugerencias</v>
      </c>
      <c r="D908" s="99" t="s">
        <v>184</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cm="1">
        <f t="array" ref="A909">IFERROR(INDEX('03.Muestra'!$B$8:$B$42,SMALL(IF("Página Web"='03.Muestra'!$D$8:$D$42,ROW('03.Muestra'!$B$8:$B$42)-MIN(ROW('03.Muestra'!$D$8:$D$42))+1,""),ROW()-892)),"")</f>
        <v>17</v>
      </c>
      <c r="B909" s="85" t="str" cm="1">
        <f t="array" ref="B909">IFERROR(INDEX('03.Muestra'!$C$8:$C$42,SMALL(IF("Página Web"='03.Muestra'!$D$8:$D$42,ROW('03.Muestra'!$C$8:$C$42)-MIN(ROW('03.Muestra'!$D$8:$D$42))+1,""),ROW()-892)),"")</f>
        <v>Buscador</v>
      </c>
      <c r="C909" s="85" t="str" cm="1">
        <f t="array" ref="C909">IFERROR(INDEX('03.Muestra'!$F$8:$F$42,SMALL(IF("Página Web"='03.Muestra'!$D$8:$D$42,ROW('03.Muestra'!$F$8:$F$42)-MIN(ROW('03.Muestra'!$D$8:$D$42))+1,""),ROW()-892)),"")</f>
        <v>https://elecciones.comunidad.madrid/es/search?search_api_fulltext=partido</v>
      </c>
      <c r="D909" s="99" t="s">
        <v>184</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cm="1">
        <f t="array" ref="A910">IFERROR(INDEX('03.Muestra'!$B$8:$B$42,SMALL(IF("Página Web"='03.Muestra'!$D$8:$D$42,ROW('03.Muestra'!$B$8:$B$42)-MIN(ROW('03.Muestra'!$D$8:$D$42))+1,""),ROW()-892)),"")</f>
        <v>18</v>
      </c>
      <c r="B910" s="85" t="str" cm="1">
        <f t="array" ref="B910">IFERROR(INDEX('03.Muestra'!$C$8:$C$42,SMALL(IF("Página Web"='03.Muestra'!$D$8:$D$42,ROW('03.Muestra'!$C$8:$C$42)-MIN(ROW('03.Muestra'!$D$8:$D$42))+1,""),ROW()-892)),"")</f>
        <v>Aviso Legal-Privacidad</v>
      </c>
      <c r="C910" s="85" t="str" cm="1">
        <f t="array" ref="C910">IFERROR(INDEX('03.Muestra'!$F$8:$F$42,SMALL(IF("Página Web"='03.Muestra'!$D$8:$D$42,ROW('03.Muestra'!$F$8:$F$42)-MIN(ROW('03.Muestra'!$D$8:$D$42))+1,""),ROW()-892)),"")</f>
        <v>https://elecciones.comunidad.madrid/es/aviso-legal</v>
      </c>
      <c r="D910" s="99" t="s">
        <v>184</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cm="1">
        <f t="array" ref="A911">IFERROR(INDEX('03.Muestra'!$B$8:$B$42,SMALL(IF("Página Web"='03.Muestra'!$D$8:$D$42,ROW('03.Muestra'!$B$8:$B$42)-MIN(ROW('03.Muestra'!$D$8:$D$42))+1,""),ROW()-892)),"")</f>
        <v>19</v>
      </c>
      <c r="B911" s="85" t="str" cm="1">
        <f t="array" ref="B911">IFERROR(INDEX('03.Muestra'!$C$8:$C$42,SMALL(IF("Página Web"='03.Muestra'!$D$8:$D$42,ROW('03.Muestra'!$C$8:$C$42)-MIN(ROW('03.Muestra'!$D$8:$D$42))+1,""),ROW()-892)),"")</f>
        <v>Mapa Web</v>
      </c>
      <c r="C911" s="85" t="str" cm="1">
        <f t="array" ref="C911">IFERROR(INDEX('03.Muestra'!$F$8:$F$42,SMALL(IF("Página Web"='03.Muestra'!$D$8:$D$42,ROW('03.Muestra'!$F$8:$F$42)-MIN(ROW('03.Muestra'!$D$8:$D$42))+1,""),ROW()-892)),"")</f>
        <v>https://elecciones.comunidad.madrid/es/sitemap</v>
      </c>
      <c r="D911" s="99" t="s">
        <v>184</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cm="1">
        <f t="array" ref="A912">IFERROR(INDEX('03.Muestra'!$B$8:$B$42,SMALL(IF("Página Web"='03.Muestra'!$D$8:$D$42,ROW('03.Muestra'!$B$8:$B$42)-MIN(ROW('03.Muestra'!$D$8:$D$42))+1,""),ROW()-892)),"")</f>
        <v>20</v>
      </c>
      <c r="B912" s="85" t="str" cm="1">
        <f t="array" ref="B912">IFERROR(INDEX('03.Muestra'!$C$8:$C$42,SMALL(IF("Página Web"='03.Muestra'!$D$8:$D$42,ROW('03.Muestra'!$C$8:$C$42)-MIN(ROW('03.Muestra'!$D$8:$D$42))+1,""),ROW()-892)),"")</f>
        <v>Declaracion Accesibilidad</v>
      </c>
      <c r="C912" s="85" t="str" cm="1">
        <f t="array" ref="C912">IFERROR(INDEX('03.Muestra'!$F$8:$F$42,SMALL(IF("Página Web"='03.Muestra'!$D$8:$D$42,ROW('03.Muestra'!$F$8:$F$42)-MIN(ROW('03.Muestra'!$D$8:$D$42))+1,""),ROW()-892)),"")</f>
        <v>https://elecciones.comunidad.madrid/es/accesibilidad</v>
      </c>
      <c r="D912" s="99" t="s">
        <v>184</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ref="D913:D927" si="47">IF(AND(B913&lt;&gt;"",C913&lt;&gt;""),"N/T","")</f>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181</v>
      </c>
      <c r="B930" s="23" t="s">
        <v>173</v>
      </c>
      <c r="C930" s="24" t="s">
        <v>248</v>
      </c>
      <c r="D930" s="25" t="s">
        <v>183</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Inicio</v>
      </c>
      <c r="C931" s="85" t="str" cm="1">
        <f t="array" ref="C931">IFERROR(INDEX('03.Muestra'!$F$8:$F$42,SMALL(IF("Página Web"='03.Muestra'!$D$8:$D$42,ROW('03.Muestra'!$F$8:$F$42)-MIN(ROW('03.Muestra'!$D$8:$D$42))+1,""),ROW()-930)),"")</f>
        <v>https://elecciones.comunidad.madrid/es</v>
      </c>
      <c r="D931" s="99" t="s">
        <v>184</v>
      </c>
      <c r="E931" s="79" t="str">
        <f t="shared" ref="E931:E965" si="48">IF(D931&lt;&gt;"",IF(AND(B931&lt;&gt;"",C931&lt;&gt;""),"","ERR"),"")</f>
        <v/>
      </c>
      <c r="F931" s="86" t="s">
        <v>185</v>
      </c>
      <c r="G931" s="87" t="s">
        <v>186</v>
      </c>
      <c r="H931" s="88" t="s">
        <v>184</v>
      </c>
      <c r="I931" s="89" t="s">
        <v>176</v>
      </c>
      <c r="J931" s="90" t="s">
        <v>174</v>
      </c>
      <c r="K931" s="179" t="s">
        <v>180</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Resultado Elecciones 28M 2023</v>
      </c>
      <c r="C932" s="85" t="str" cm="1">
        <f t="array" ref="C932">IFERROR(INDEX('03.Muestra'!$F$8:$F$42,SMALL(IF("Página Web"='03.Muestra'!$D$8:$D$42,ROW('03.Muestra'!$F$8:$F$42)-MIN(ROW('03.Muestra'!$D$8:$D$42))+1,""),ROW()-930)),"")</f>
        <v>https://elecciones.comunidad.madrid/es/resultados-elecciones-asamblea-madrid-28m-2023</v>
      </c>
      <c r="D932" s="99" t="s">
        <v>184</v>
      </c>
      <c r="E932" s="79" t="str">
        <f t="shared" si="48"/>
        <v/>
      </c>
      <c r="F932" s="91">
        <f ca="1">COUNTIF($D931:INDIRECT("$D" &amp;  SUM(ROW()-1,'03.Muestra'!$D$45)-1),F931)</f>
        <v>0</v>
      </c>
      <c r="G932" s="91">
        <f ca="1">COUNTIF($D931:INDIRECT("$D" &amp;  SUM(ROW()-1,'03.Muestra'!$D$45)-1),G931)</f>
        <v>0</v>
      </c>
      <c r="H932" s="91">
        <f ca="1">COUNTIF($D931:INDIRECT("$D" &amp;  SUM(ROW()-1,'03.Muestra'!$D$45)-1),H931)</f>
        <v>20</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Normativa electoral</v>
      </c>
      <c r="C933" s="85" t="str" cm="1">
        <f t="array" ref="C933">IFERROR(INDEX('03.Muestra'!$F$8:$F$42,SMALL(IF("Página Web"='03.Muestra'!$D$8:$D$42,ROW('03.Muestra'!$F$8:$F$42)-MIN(ROW('03.Muestra'!$D$8:$D$42))+1,""),ROW()-930)),"")</f>
        <v>https://elecciones.comunidad.madrid/es/informacion-electoral/normativa-electoral</v>
      </c>
      <c r="D933" s="99" t="s">
        <v>184</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Calendario electoral</v>
      </c>
      <c r="C934" s="85" t="str" cm="1">
        <f t="array" ref="C934">IFERROR(INDEX('03.Muestra'!$F$8:$F$42,SMALL(IF("Página Web"='03.Muestra'!$D$8:$D$42,ROW('03.Muestra'!$F$8:$F$42)-MIN(ROW('03.Muestra'!$D$8:$D$42))+1,""),ROW()-930)),"")</f>
        <v>https://elecciones.comunidad.madrid/es/informacion-electoral/calendario-electoral</v>
      </c>
      <c r="D934" s="99" t="s">
        <v>184</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Direcciones y teléfonos</v>
      </c>
      <c r="C935" s="85" t="str" cm="1">
        <f t="array" ref="C935">IFERROR(INDEX('03.Muestra'!$F$8:$F$42,SMALL(IF("Página Web"='03.Muestra'!$D$8:$D$42,ROW('03.Muestra'!$F$8:$F$42)-MIN(ROW('03.Muestra'!$D$8:$D$42))+1,""),ROW()-930)),"")</f>
        <v>https://elecciones.comunidad.madrid/es/juntas-electorales/direcciones-telefonos</v>
      </c>
      <c r="D935" s="99" t="s">
        <v>184</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Impresos electrónicos</v>
      </c>
      <c r="C936" s="85" t="str" cm="1">
        <f t="array" ref="C936">IFERROR(INDEX('03.Muestra'!$F$8:$F$42,SMALL(IF("Página Web"='03.Muestra'!$D$8:$D$42,ROW('03.Muestra'!$F$8:$F$42)-MIN(ROW('03.Muestra'!$D$8:$D$42))+1,""),ROW()-930)),"")</f>
        <v>https://elecciones.comunidad.madrid/es/formaciones-politicas/impresos-electronicos</v>
      </c>
      <c r="D936" s="99" t="s">
        <v>184</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Listado de candidaturas</v>
      </c>
      <c r="C937" s="85" t="str" cm="1">
        <f t="array" ref="C937">IFERROR(INDEX('03.Muestra'!$F$8:$F$42,SMALL(IF("Página Web"='03.Muestra'!$D$8:$D$42,ROW('03.Muestra'!$F$8:$F$42)-MIN(ROW('03.Muestra'!$D$8:$D$42))+1,""),ROW()-930)),"")</f>
        <v>https://elecciones.comunidad.madrid/es/formaciones-politicas/listado-candidaturas-proclamadas</v>
      </c>
      <c r="D937" s="99" t="s">
        <v>184</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Partido Feminista de España</v>
      </c>
      <c r="C938" s="85" t="str" cm="1">
        <f t="array" ref="C938">IFERROR(INDEX('03.Muestra'!$F$8:$F$42,SMALL(IF("Página Web"='03.Muestra'!$D$8:$D$42,ROW('03.Muestra'!$F$8:$F$42)-MIN(ROW('03.Muestra'!$D$8:$D$42))+1,""),ROW()-930)),"")</f>
        <v>https://elecciones.comunidad.madrid/es/formaciones-politicas/listado-candidaturas/partido-feminista-espana</v>
      </c>
      <c r="D938" s="99" t="s">
        <v>184</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cm="1">
        <f t="array" ref="A939">IFERROR(INDEX('03.Muestra'!$B$8:$B$42,SMALL(IF("Página Web"='03.Muestra'!$D$8:$D$42,ROW('03.Muestra'!$B$8:$B$42)-MIN(ROW('03.Muestra'!$D$8:$D$42))+1,""),ROW()-930)),"")</f>
        <v>9</v>
      </c>
      <c r="B939" s="85" t="str" cm="1">
        <f t="array" ref="B939">IFERROR(INDEX('03.Muestra'!$C$8:$C$42,SMALL(IF("Página Web"='03.Muestra'!$D$8:$D$42,ROW('03.Muestra'!$C$8:$C$42)-MIN(ROW('03.Muestra'!$D$8:$D$42))+1,""),ROW()-930)),"")</f>
        <v>¿Dónde voto?</v>
      </c>
      <c r="C939" s="85" t="str" cm="1">
        <f t="array" ref="C939">IFERROR(INDEX('03.Muestra'!$F$8:$F$42,SMALL(IF("Página Web"='03.Muestra'!$D$8:$D$42,ROW('03.Muestra'!$F$8:$F$42)-MIN(ROW('03.Muestra'!$D$8:$D$42))+1,""),ROW()-930)),"")</f>
        <v>https://elecciones.comunidad.madrid/es/votar/donde-voto</v>
      </c>
      <c r="D939" s="99" t="s">
        <v>184</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cm="1">
        <f t="array" ref="A940">IFERROR(INDEX('03.Muestra'!$B$8:$B$42,SMALL(IF("Página Web"='03.Muestra'!$D$8:$D$42,ROW('03.Muestra'!$B$8:$B$42)-MIN(ROW('03.Muestra'!$D$8:$D$42))+1,""),ROW()-930)),"")</f>
        <v>10</v>
      </c>
      <c r="B940" s="85" t="str" cm="1">
        <f t="array" ref="B940">IFERROR(INDEX('03.Muestra'!$C$8:$C$42,SMALL(IF("Página Web"='03.Muestra'!$D$8:$D$42,ROW('03.Muestra'!$C$8:$C$42)-MIN(ROW('03.Muestra'!$D$8:$D$42))+1,""),ROW()-930)),"")</f>
        <v>Voto presencial</v>
      </c>
      <c r="C940" s="85" t="str" cm="1">
        <f t="array" ref="C940">IFERROR(INDEX('03.Muestra'!$F$8:$F$42,SMALL(IF("Página Web"='03.Muestra'!$D$8:$D$42,ROW('03.Muestra'!$F$8:$F$42)-MIN(ROW('03.Muestra'!$D$8:$D$42))+1,""),ROW()-930)),"")</f>
        <v>https://elecciones.comunidad.madrid/es/voto-local-electoral/voto-presencial</v>
      </c>
      <c r="D940" s="99" t="s">
        <v>184</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cm="1">
        <f t="array" ref="A941">IFERROR(INDEX('03.Muestra'!$B$8:$B$42,SMALL(IF("Página Web"='03.Muestra'!$D$8:$D$42,ROW('03.Muestra'!$B$8:$B$42)-MIN(ROW('03.Muestra'!$D$8:$D$42))+1,""),ROW()-930)),"")</f>
        <v>11</v>
      </c>
      <c r="B941" s="85" t="str" cm="1">
        <f t="array" ref="B941">IFERROR(INDEX('03.Muestra'!$C$8:$C$42,SMALL(IF("Página Web"='03.Muestra'!$D$8:$D$42,ROW('03.Muestra'!$C$8:$C$42)-MIN(ROW('03.Muestra'!$D$8:$D$42))+1,""),ROW()-930)),"")</f>
        <v>Ciudadanos temporalmente en el extranjero</v>
      </c>
      <c r="C941" s="85" t="str" cm="1">
        <f t="array" ref="C941">IFERROR(INDEX('03.Muestra'!$F$8:$F$42,SMALL(IF("Página Web"='03.Muestra'!$D$8:$D$42,ROW('03.Muestra'!$F$8:$F$42)-MIN(ROW('03.Muestra'!$D$8:$D$42))+1,""),ROW()-930)),"")</f>
        <v>https://elecciones.comunidad.madrid/es/voto-correo/solicitud-voto-temporalmente-ausentes</v>
      </c>
      <c r="D941" s="99" t="s">
        <v>184</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cm="1">
        <f t="array" ref="A942">IFERROR(INDEX('03.Muestra'!$B$8:$B$42,SMALL(IF("Página Web"='03.Muestra'!$D$8:$D$42,ROW('03.Muestra'!$B$8:$B$42)-MIN(ROW('03.Muestra'!$D$8:$D$42))+1,""),ROW()-930)),"")</f>
        <v>12</v>
      </c>
      <c r="B942" s="85" t="str" cm="1">
        <f t="array" ref="B942">IFERROR(INDEX('03.Muestra'!$C$8:$C$42,SMALL(IF("Página Web"='03.Muestra'!$D$8:$D$42,ROW('03.Muestra'!$C$8:$C$42)-MIN(ROW('03.Muestra'!$D$8:$D$42))+1,""),ROW()-930)),"")</f>
        <v>Nuevo votante</v>
      </c>
      <c r="C942" s="85" t="str" cm="1">
        <f t="array" ref="C942">IFERROR(INDEX('03.Muestra'!$F$8:$F$42,SMALL(IF("Página Web"='03.Muestra'!$D$8:$D$42,ROW('03.Muestra'!$F$8:$F$42)-MIN(ROW('03.Muestra'!$D$8:$D$42))+1,""),ROW()-930)),"")</f>
        <v>https://elecciones.comunidad.madrid/es/votar/nuevo-votante</v>
      </c>
      <c r="D942" s="99" t="s">
        <v>184</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cm="1">
        <f t="array" ref="A943">IFERROR(INDEX('03.Muestra'!$B$8:$B$42,SMALL(IF("Página Web"='03.Muestra'!$D$8:$D$42,ROW('03.Muestra'!$B$8:$B$42)-MIN(ROW('03.Muestra'!$D$8:$D$42))+1,""),ROW()-930)),"")</f>
        <v>13</v>
      </c>
      <c r="B943" s="85" t="str" cm="1">
        <f t="array" ref="B943">IFERROR(INDEX('03.Muestra'!$C$8:$C$42,SMALL(IF("Página Web"='03.Muestra'!$D$8:$D$42,ROW('03.Muestra'!$C$8:$C$42)-MIN(ROW('03.Muestra'!$D$8:$D$42))+1,""),ROW()-930)),"")</f>
        <v>Simulación método D'Hondt</v>
      </c>
      <c r="C943" s="85" t="str" cm="1">
        <f t="array" ref="C943">IFERROR(INDEX('03.Muestra'!$F$8:$F$42,SMALL(IF("Página Web"='03.Muestra'!$D$8:$D$42,ROW('03.Muestra'!$F$8:$F$42)-MIN(ROW('03.Muestra'!$D$8:$D$42))+1,""),ROW()-930)),"")</f>
        <v>https://elecciones.comunidad.madrid/es/informacion-util/simulacion-metodo-dhondt</v>
      </c>
      <c r="D943" s="99" t="s">
        <v>184</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cm="1">
        <f t="array" ref="A944">IFERROR(INDEX('03.Muestra'!$B$8:$B$42,SMALL(IF("Página Web"='03.Muestra'!$D$8:$D$42,ROW('03.Muestra'!$B$8:$B$42)-MIN(ROW('03.Muestra'!$D$8:$D$42))+1,""),ROW()-930)),"")</f>
        <v>14</v>
      </c>
      <c r="B944" s="85" t="str" cm="1">
        <f t="array" ref="B944">IFERROR(INDEX('03.Muestra'!$C$8:$C$42,SMALL(IF("Página Web"='03.Muestra'!$D$8:$D$42,ROW('03.Muestra'!$C$8:$C$42)-MIN(ROW('03.Muestra'!$D$8:$D$42))+1,""),ROW()-930)),"")</f>
        <v>Ley D'Hondt</v>
      </c>
      <c r="C944" s="85" t="str" cm="1">
        <f t="array" ref="C944">IFERROR(INDEX('03.Muestra'!$F$8:$F$42,SMALL(IF("Página Web"='03.Muestra'!$D$8:$D$42,ROW('03.Muestra'!$F$8:$F$42)-MIN(ROW('03.Muestra'!$D$8:$D$42))+1,""),ROW()-930)),"")</f>
        <v>https://elecciones.comunidad.madrid/es/resultados/ley_d_hondt</v>
      </c>
      <c r="D944" s="99" t="s">
        <v>184</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cm="1">
        <f t="array" ref="A945">IFERROR(INDEX('03.Muestra'!$B$8:$B$42,SMALL(IF("Página Web"='03.Muestra'!$D$8:$D$42,ROW('03.Muestra'!$B$8:$B$42)-MIN(ROW('03.Muestra'!$D$8:$D$42))+1,""),ROW()-930)),"")</f>
        <v>15</v>
      </c>
      <c r="B945" s="85" t="str" cm="1">
        <f t="array" ref="B945">IFERROR(INDEX('03.Muestra'!$C$8:$C$42,SMALL(IF("Página Web"='03.Muestra'!$D$8:$D$42,ROW('03.Muestra'!$C$8:$C$42)-MIN(ROW('03.Muestra'!$D$8:$D$42))+1,""),ROW()-930)),"")</f>
        <v>Voto por correo elector CERA en España</v>
      </c>
      <c r="C945" s="85" t="str" cm="1">
        <f t="array" ref="C945">IFERROR(INDEX('03.Muestra'!$F$8:$F$42,SMALL(IF("Página Web"='03.Muestra'!$D$8:$D$42,ROW('03.Muestra'!$F$8:$F$42)-MIN(ROW('03.Muestra'!$D$8:$D$42))+1,""),ROW()-930)),"")</f>
        <v>https://elecciones.comunidad.madrid/es/preguntas-frecuentes/voto-correo-electores-residentes-extranjero</v>
      </c>
      <c r="D945" s="99" t="s">
        <v>184</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cm="1">
        <f t="array" ref="A946">IFERROR(INDEX('03.Muestra'!$B$8:$B$42,SMALL(IF("Página Web"='03.Muestra'!$D$8:$D$42,ROW('03.Muestra'!$B$8:$B$42)-MIN(ROW('03.Muestra'!$D$8:$D$42))+1,""),ROW()-930)),"")</f>
        <v>16</v>
      </c>
      <c r="B946" s="85" t="str" cm="1">
        <f t="array" ref="B946">IFERROR(INDEX('03.Muestra'!$C$8:$C$42,SMALL(IF("Página Web"='03.Muestra'!$D$8:$D$42,ROW('03.Muestra'!$C$8:$C$42)-MIN(ROW('03.Muestra'!$D$8:$D$42))+1,""),ROW()-930)),"")</f>
        <v>Contacto</v>
      </c>
      <c r="C946" s="85" t="str" cm="1">
        <f t="array" ref="C946">IFERROR(INDEX('03.Muestra'!$F$8:$F$42,SMALL(IF("Página Web"='03.Muestra'!$D$8:$D$42,ROW('03.Muestra'!$F$8:$F$42)-MIN(ROW('03.Muestra'!$D$8:$D$42))+1,""),ROW()-930)),"")</f>
        <v>https://elecciones.comunidad.madrid/es/buzon-de-sugerencias</v>
      </c>
      <c r="D946" s="99" t="s">
        <v>184</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cm="1">
        <f t="array" ref="A947">IFERROR(INDEX('03.Muestra'!$B$8:$B$42,SMALL(IF("Página Web"='03.Muestra'!$D$8:$D$42,ROW('03.Muestra'!$B$8:$B$42)-MIN(ROW('03.Muestra'!$D$8:$D$42))+1,""),ROW()-930)),"")</f>
        <v>17</v>
      </c>
      <c r="B947" s="85" t="str" cm="1">
        <f t="array" ref="B947">IFERROR(INDEX('03.Muestra'!$C$8:$C$42,SMALL(IF("Página Web"='03.Muestra'!$D$8:$D$42,ROW('03.Muestra'!$C$8:$C$42)-MIN(ROW('03.Muestra'!$D$8:$D$42))+1,""),ROW()-930)),"")</f>
        <v>Buscador</v>
      </c>
      <c r="C947" s="85" t="str" cm="1">
        <f t="array" ref="C947">IFERROR(INDEX('03.Muestra'!$F$8:$F$42,SMALL(IF("Página Web"='03.Muestra'!$D$8:$D$42,ROW('03.Muestra'!$F$8:$F$42)-MIN(ROW('03.Muestra'!$D$8:$D$42))+1,""),ROW()-930)),"")</f>
        <v>https://elecciones.comunidad.madrid/es/search?search_api_fulltext=partido</v>
      </c>
      <c r="D947" s="99" t="s">
        <v>184</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cm="1">
        <f t="array" ref="A948">IFERROR(INDEX('03.Muestra'!$B$8:$B$42,SMALL(IF("Página Web"='03.Muestra'!$D$8:$D$42,ROW('03.Muestra'!$B$8:$B$42)-MIN(ROW('03.Muestra'!$D$8:$D$42))+1,""),ROW()-930)),"")</f>
        <v>18</v>
      </c>
      <c r="B948" s="85" t="str" cm="1">
        <f t="array" ref="B948">IFERROR(INDEX('03.Muestra'!$C$8:$C$42,SMALL(IF("Página Web"='03.Muestra'!$D$8:$D$42,ROW('03.Muestra'!$C$8:$C$42)-MIN(ROW('03.Muestra'!$D$8:$D$42))+1,""),ROW()-930)),"")</f>
        <v>Aviso Legal-Privacidad</v>
      </c>
      <c r="C948" s="85" t="str" cm="1">
        <f t="array" ref="C948">IFERROR(INDEX('03.Muestra'!$F$8:$F$42,SMALL(IF("Página Web"='03.Muestra'!$D$8:$D$42,ROW('03.Muestra'!$F$8:$F$42)-MIN(ROW('03.Muestra'!$D$8:$D$42))+1,""),ROW()-930)),"")</f>
        <v>https://elecciones.comunidad.madrid/es/aviso-legal</v>
      </c>
      <c r="D948" s="99" t="s">
        <v>184</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cm="1">
        <f t="array" ref="A949">IFERROR(INDEX('03.Muestra'!$B$8:$B$42,SMALL(IF("Página Web"='03.Muestra'!$D$8:$D$42,ROW('03.Muestra'!$B$8:$B$42)-MIN(ROW('03.Muestra'!$D$8:$D$42))+1,""),ROW()-930)),"")</f>
        <v>19</v>
      </c>
      <c r="B949" s="85" t="str" cm="1">
        <f t="array" ref="B949">IFERROR(INDEX('03.Muestra'!$C$8:$C$42,SMALL(IF("Página Web"='03.Muestra'!$D$8:$D$42,ROW('03.Muestra'!$C$8:$C$42)-MIN(ROW('03.Muestra'!$D$8:$D$42))+1,""),ROW()-930)),"")</f>
        <v>Mapa Web</v>
      </c>
      <c r="C949" s="85" t="str" cm="1">
        <f t="array" ref="C949">IFERROR(INDEX('03.Muestra'!$F$8:$F$42,SMALL(IF("Página Web"='03.Muestra'!$D$8:$D$42,ROW('03.Muestra'!$F$8:$F$42)-MIN(ROW('03.Muestra'!$D$8:$D$42))+1,""),ROW()-930)),"")</f>
        <v>https://elecciones.comunidad.madrid/es/sitemap</v>
      </c>
      <c r="D949" s="99" t="s">
        <v>184</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cm="1">
        <f t="array" ref="A950">IFERROR(INDEX('03.Muestra'!$B$8:$B$42,SMALL(IF("Página Web"='03.Muestra'!$D$8:$D$42,ROW('03.Muestra'!$B$8:$B$42)-MIN(ROW('03.Muestra'!$D$8:$D$42))+1,""),ROW()-930)),"")</f>
        <v>20</v>
      </c>
      <c r="B950" s="85" t="str" cm="1">
        <f t="array" ref="B950">IFERROR(INDEX('03.Muestra'!$C$8:$C$42,SMALL(IF("Página Web"='03.Muestra'!$D$8:$D$42,ROW('03.Muestra'!$C$8:$C$42)-MIN(ROW('03.Muestra'!$D$8:$D$42))+1,""),ROW()-930)),"")</f>
        <v>Declaracion Accesibilidad</v>
      </c>
      <c r="C950" s="85" t="str" cm="1">
        <f t="array" ref="C950">IFERROR(INDEX('03.Muestra'!$F$8:$F$42,SMALL(IF("Página Web"='03.Muestra'!$D$8:$D$42,ROW('03.Muestra'!$F$8:$F$42)-MIN(ROW('03.Muestra'!$D$8:$D$42))+1,""),ROW()-930)),"")</f>
        <v>https://elecciones.comunidad.madrid/es/accesibilidad</v>
      </c>
      <c r="D950" s="99" t="s">
        <v>184</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ref="D951:D965" si="49">IF(AND(B951&lt;&gt;"",C951&lt;&gt;""),"N/T","")</f>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181</v>
      </c>
      <c r="B968" s="23" t="s">
        <v>173</v>
      </c>
      <c r="C968" s="24" t="s">
        <v>249</v>
      </c>
      <c r="D968" s="25" t="s">
        <v>183</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Inicio</v>
      </c>
      <c r="C969" s="85" t="str" cm="1">
        <f t="array" ref="C969">IFERROR(INDEX('03.Muestra'!$F$8:$F$42,SMALL(IF("Página Web"='03.Muestra'!$D$8:$D$42,ROW('03.Muestra'!$F$8:$F$42)-MIN(ROW('03.Muestra'!$D$8:$D$42))+1,""),ROW()-968)),"")</f>
        <v>https://elecciones.comunidad.madrid/es</v>
      </c>
      <c r="D969" s="99" t="s">
        <v>174</v>
      </c>
      <c r="E969" s="79" t="str">
        <f t="shared" ref="E969:E1003" si="50">IF(D969&lt;&gt;"",IF(AND(B969&lt;&gt;"",C969&lt;&gt;""),"","ERR"),"")</f>
        <v/>
      </c>
      <c r="F969" s="86" t="s">
        <v>185</v>
      </c>
      <c r="G969" s="87" t="s">
        <v>186</v>
      </c>
      <c r="H969" s="88" t="s">
        <v>184</v>
      </c>
      <c r="I969" s="89" t="s">
        <v>176</v>
      </c>
      <c r="J969" s="90" t="s">
        <v>174</v>
      </c>
      <c r="K969" s="179" t="s">
        <v>180</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Resultado Elecciones 28M 2023</v>
      </c>
      <c r="C970" s="85" t="str" cm="1">
        <f t="array" ref="C970">IFERROR(INDEX('03.Muestra'!$F$8:$F$42,SMALL(IF("Página Web"='03.Muestra'!$D$8:$D$42,ROW('03.Muestra'!$F$8:$F$42)-MIN(ROW('03.Muestra'!$D$8:$D$42))+1,""),ROW()-968)),"")</f>
        <v>https://elecciones.comunidad.madrid/es/resultados-elecciones-asamblea-madrid-28m-2023</v>
      </c>
      <c r="D970" s="99" t="s">
        <v>174</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20</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Normativa electoral</v>
      </c>
      <c r="C971" s="85" t="str" cm="1">
        <f t="array" ref="C971">IFERROR(INDEX('03.Muestra'!$F$8:$F$42,SMALL(IF("Página Web"='03.Muestra'!$D$8:$D$42,ROW('03.Muestra'!$F$8:$F$42)-MIN(ROW('03.Muestra'!$D$8:$D$42))+1,""),ROW()-968)),"")</f>
        <v>https://elecciones.comunidad.madrid/es/informacion-electoral/normativa-electoral</v>
      </c>
      <c r="D971" s="99" t="s">
        <v>174</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Calendario electoral</v>
      </c>
      <c r="C972" s="85" t="str" cm="1">
        <f t="array" ref="C972">IFERROR(INDEX('03.Muestra'!$F$8:$F$42,SMALL(IF("Página Web"='03.Muestra'!$D$8:$D$42,ROW('03.Muestra'!$F$8:$F$42)-MIN(ROW('03.Muestra'!$D$8:$D$42))+1,""),ROW()-968)),"")</f>
        <v>https://elecciones.comunidad.madrid/es/informacion-electoral/calendario-electoral</v>
      </c>
      <c r="D972" s="99" t="s">
        <v>174</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Direcciones y teléfonos</v>
      </c>
      <c r="C973" s="85" t="str" cm="1">
        <f t="array" ref="C973">IFERROR(INDEX('03.Muestra'!$F$8:$F$42,SMALL(IF("Página Web"='03.Muestra'!$D$8:$D$42,ROW('03.Muestra'!$F$8:$F$42)-MIN(ROW('03.Muestra'!$D$8:$D$42))+1,""),ROW()-968)),"")</f>
        <v>https://elecciones.comunidad.madrid/es/juntas-electorales/direcciones-telefonos</v>
      </c>
      <c r="D973" s="99" t="s">
        <v>174</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Impresos electrónicos</v>
      </c>
      <c r="C974" s="85" t="str" cm="1">
        <f t="array" ref="C974">IFERROR(INDEX('03.Muestra'!$F$8:$F$42,SMALL(IF("Página Web"='03.Muestra'!$D$8:$D$42,ROW('03.Muestra'!$F$8:$F$42)-MIN(ROW('03.Muestra'!$D$8:$D$42))+1,""),ROW()-968)),"")</f>
        <v>https://elecciones.comunidad.madrid/es/formaciones-politicas/impresos-electronicos</v>
      </c>
      <c r="D974" s="99" t="s">
        <v>174</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Listado de candidaturas</v>
      </c>
      <c r="C975" s="85" t="str" cm="1">
        <f t="array" ref="C975">IFERROR(INDEX('03.Muestra'!$F$8:$F$42,SMALL(IF("Página Web"='03.Muestra'!$D$8:$D$42,ROW('03.Muestra'!$F$8:$F$42)-MIN(ROW('03.Muestra'!$D$8:$D$42))+1,""),ROW()-968)),"")</f>
        <v>https://elecciones.comunidad.madrid/es/formaciones-politicas/listado-candidaturas-proclamadas</v>
      </c>
      <c r="D975" s="99" t="s">
        <v>174</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Partido Feminista de España</v>
      </c>
      <c r="C976" s="85" t="str" cm="1">
        <f t="array" ref="C976">IFERROR(INDEX('03.Muestra'!$F$8:$F$42,SMALL(IF("Página Web"='03.Muestra'!$D$8:$D$42,ROW('03.Muestra'!$F$8:$F$42)-MIN(ROW('03.Muestra'!$D$8:$D$42))+1,""),ROW()-968)),"")</f>
        <v>https://elecciones.comunidad.madrid/es/formaciones-politicas/listado-candidaturas/partido-feminista-espana</v>
      </c>
      <c r="D976" s="99" t="s">
        <v>174</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cm="1">
        <f t="array" ref="A977">IFERROR(INDEX('03.Muestra'!$B$8:$B$42,SMALL(IF("Página Web"='03.Muestra'!$D$8:$D$42,ROW('03.Muestra'!$B$8:$B$42)-MIN(ROW('03.Muestra'!$D$8:$D$42))+1,""),ROW()-968)),"")</f>
        <v>9</v>
      </c>
      <c r="B977" s="85" t="str" cm="1">
        <f t="array" ref="B977">IFERROR(INDEX('03.Muestra'!$C$8:$C$42,SMALL(IF("Página Web"='03.Muestra'!$D$8:$D$42,ROW('03.Muestra'!$C$8:$C$42)-MIN(ROW('03.Muestra'!$D$8:$D$42))+1,""),ROW()-968)),"")</f>
        <v>¿Dónde voto?</v>
      </c>
      <c r="C977" s="85" t="str" cm="1">
        <f t="array" ref="C977">IFERROR(INDEX('03.Muestra'!$F$8:$F$42,SMALL(IF("Página Web"='03.Muestra'!$D$8:$D$42,ROW('03.Muestra'!$F$8:$F$42)-MIN(ROW('03.Muestra'!$D$8:$D$42))+1,""),ROW()-968)),"")</f>
        <v>https://elecciones.comunidad.madrid/es/votar/donde-voto</v>
      </c>
      <c r="D977" s="99" t="s">
        <v>174</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cm="1">
        <f t="array" ref="A978">IFERROR(INDEX('03.Muestra'!$B$8:$B$42,SMALL(IF("Página Web"='03.Muestra'!$D$8:$D$42,ROW('03.Muestra'!$B$8:$B$42)-MIN(ROW('03.Muestra'!$D$8:$D$42))+1,""),ROW()-968)),"")</f>
        <v>10</v>
      </c>
      <c r="B978" s="85" t="str" cm="1">
        <f t="array" ref="B978">IFERROR(INDEX('03.Muestra'!$C$8:$C$42,SMALL(IF("Página Web"='03.Muestra'!$D$8:$D$42,ROW('03.Muestra'!$C$8:$C$42)-MIN(ROW('03.Muestra'!$D$8:$D$42))+1,""),ROW()-968)),"")</f>
        <v>Voto presencial</v>
      </c>
      <c r="C978" s="85" t="str" cm="1">
        <f t="array" ref="C978">IFERROR(INDEX('03.Muestra'!$F$8:$F$42,SMALL(IF("Página Web"='03.Muestra'!$D$8:$D$42,ROW('03.Muestra'!$F$8:$F$42)-MIN(ROW('03.Muestra'!$D$8:$D$42))+1,""),ROW()-968)),"")</f>
        <v>https://elecciones.comunidad.madrid/es/voto-local-electoral/voto-presencial</v>
      </c>
      <c r="D978" s="99" t="s">
        <v>174</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cm="1">
        <f t="array" ref="A979">IFERROR(INDEX('03.Muestra'!$B$8:$B$42,SMALL(IF("Página Web"='03.Muestra'!$D$8:$D$42,ROW('03.Muestra'!$B$8:$B$42)-MIN(ROW('03.Muestra'!$D$8:$D$42))+1,""),ROW()-968)),"")</f>
        <v>11</v>
      </c>
      <c r="B979" s="85" t="str" cm="1">
        <f t="array" ref="B979">IFERROR(INDEX('03.Muestra'!$C$8:$C$42,SMALL(IF("Página Web"='03.Muestra'!$D$8:$D$42,ROW('03.Muestra'!$C$8:$C$42)-MIN(ROW('03.Muestra'!$D$8:$D$42))+1,""),ROW()-968)),"")</f>
        <v>Ciudadanos temporalmente en el extranjero</v>
      </c>
      <c r="C979" s="85" t="str" cm="1">
        <f t="array" ref="C979">IFERROR(INDEX('03.Muestra'!$F$8:$F$42,SMALL(IF("Página Web"='03.Muestra'!$D$8:$D$42,ROW('03.Muestra'!$F$8:$F$42)-MIN(ROW('03.Muestra'!$D$8:$D$42))+1,""),ROW()-968)),"")</f>
        <v>https://elecciones.comunidad.madrid/es/voto-correo/solicitud-voto-temporalmente-ausentes</v>
      </c>
      <c r="D979" s="99" t="s">
        <v>174</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cm="1">
        <f t="array" ref="A980">IFERROR(INDEX('03.Muestra'!$B$8:$B$42,SMALL(IF("Página Web"='03.Muestra'!$D$8:$D$42,ROW('03.Muestra'!$B$8:$B$42)-MIN(ROW('03.Muestra'!$D$8:$D$42))+1,""),ROW()-968)),"")</f>
        <v>12</v>
      </c>
      <c r="B980" s="85" t="str" cm="1">
        <f t="array" ref="B980">IFERROR(INDEX('03.Muestra'!$C$8:$C$42,SMALL(IF("Página Web"='03.Muestra'!$D$8:$D$42,ROW('03.Muestra'!$C$8:$C$42)-MIN(ROW('03.Muestra'!$D$8:$D$42))+1,""),ROW()-968)),"")</f>
        <v>Nuevo votante</v>
      </c>
      <c r="C980" s="85" t="str" cm="1">
        <f t="array" ref="C980">IFERROR(INDEX('03.Muestra'!$F$8:$F$42,SMALL(IF("Página Web"='03.Muestra'!$D$8:$D$42,ROW('03.Muestra'!$F$8:$F$42)-MIN(ROW('03.Muestra'!$D$8:$D$42))+1,""),ROW()-968)),"")</f>
        <v>https://elecciones.comunidad.madrid/es/votar/nuevo-votante</v>
      </c>
      <c r="D980" s="99" t="s">
        <v>174</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cm="1">
        <f t="array" ref="A981">IFERROR(INDEX('03.Muestra'!$B$8:$B$42,SMALL(IF("Página Web"='03.Muestra'!$D$8:$D$42,ROW('03.Muestra'!$B$8:$B$42)-MIN(ROW('03.Muestra'!$D$8:$D$42))+1,""),ROW()-968)),"")</f>
        <v>13</v>
      </c>
      <c r="B981" s="85" t="str" cm="1">
        <f t="array" ref="B981">IFERROR(INDEX('03.Muestra'!$C$8:$C$42,SMALL(IF("Página Web"='03.Muestra'!$D$8:$D$42,ROW('03.Muestra'!$C$8:$C$42)-MIN(ROW('03.Muestra'!$D$8:$D$42))+1,""),ROW()-968)),"")</f>
        <v>Simulación método D'Hondt</v>
      </c>
      <c r="C981" s="85" t="str" cm="1">
        <f t="array" ref="C981">IFERROR(INDEX('03.Muestra'!$F$8:$F$42,SMALL(IF("Página Web"='03.Muestra'!$D$8:$D$42,ROW('03.Muestra'!$F$8:$F$42)-MIN(ROW('03.Muestra'!$D$8:$D$42))+1,""),ROW()-968)),"")</f>
        <v>https://elecciones.comunidad.madrid/es/informacion-util/simulacion-metodo-dhondt</v>
      </c>
      <c r="D981" s="99" t="s">
        <v>174</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cm="1">
        <f t="array" ref="A982">IFERROR(INDEX('03.Muestra'!$B$8:$B$42,SMALL(IF("Página Web"='03.Muestra'!$D$8:$D$42,ROW('03.Muestra'!$B$8:$B$42)-MIN(ROW('03.Muestra'!$D$8:$D$42))+1,""),ROW()-968)),"")</f>
        <v>14</v>
      </c>
      <c r="B982" s="85" t="str" cm="1">
        <f t="array" ref="B982">IFERROR(INDEX('03.Muestra'!$C$8:$C$42,SMALL(IF("Página Web"='03.Muestra'!$D$8:$D$42,ROW('03.Muestra'!$C$8:$C$42)-MIN(ROW('03.Muestra'!$D$8:$D$42))+1,""),ROW()-968)),"")</f>
        <v>Ley D'Hondt</v>
      </c>
      <c r="C982" s="85" t="str" cm="1">
        <f t="array" ref="C982">IFERROR(INDEX('03.Muestra'!$F$8:$F$42,SMALL(IF("Página Web"='03.Muestra'!$D$8:$D$42,ROW('03.Muestra'!$F$8:$F$42)-MIN(ROW('03.Muestra'!$D$8:$D$42))+1,""),ROW()-968)),"")</f>
        <v>https://elecciones.comunidad.madrid/es/resultados/ley_d_hondt</v>
      </c>
      <c r="D982" s="99" t="s">
        <v>174</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cm="1">
        <f t="array" ref="A983">IFERROR(INDEX('03.Muestra'!$B$8:$B$42,SMALL(IF("Página Web"='03.Muestra'!$D$8:$D$42,ROW('03.Muestra'!$B$8:$B$42)-MIN(ROW('03.Muestra'!$D$8:$D$42))+1,""),ROW()-968)),"")</f>
        <v>15</v>
      </c>
      <c r="B983" s="85" t="str" cm="1">
        <f t="array" ref="B983">IFERROR(INDEX('03.Muestra'!$C$8:$C$42,SMALL(IF("Página Web"='03.Muestra'!$D$8:$D$42,ROW('03.Muestra'!$C$8:$C$42)-MIN(ROW('03.Muestra'!$D$8:$D$42))+1,""),ROW()-968)),"")</f>
        <v>Voto por correo elector CERA en España</v>
      </c>
      <c r="C983" s="85" t="str" cm="1">
        <f t="array" ref="C983">IFERROR(INDEX('03.Muestra'!$F$8:$F$42,SMALL(IF("Página Web"='03.Muestra'!$D$8:$D$42,ROW('03.Muestra'!$F$8:$F$42)-MIN(ROW('03.Muestra'!$D$8:$D$42))+1,""),ROW()-968)),"")</f>
        <v>https://elecciones.comunidad.madrid/es/preguntas-frecuentes/voto-correo-electores-residentes-extranjero</v>
      </c>
      <c r="D983" s="99" t="s">
        <v>174</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cm="1">
        <f t="array" ref="A984">IFERROR(INDEX('03.Muestra'!$B$8:$B$42,SMALL(IF("Página Web"='03.Muestra'!$D$8:$D$42,ROW('03.Muestra'!$B$8:$B$42)-MIN(ROW('03.Muestra'!$D$8:$D$42))+1,""),ROW()-968)),"")</f>
        <v>16</v>
      </c>
      <c r="B984" s="85" t="str" cm="1">
        <f t="array" ref="B984">IFERROR(INDEX('03.Muestra'!$C$8:$C$42,SMALL(IF("Página Web"='03.Muestra'!$D$8:$D$42,ROW('03.Muestra'!$C$8:$C$42)-MIN(ROW('03.Muestra'!$D$8:$D$42))+1,""),ROW()-968)),"")</f>
        <v>Contacto</v>
      </c>
      <c r="C984" s="85" t="str" cm="1">
        <f t="array" ref="C984">IFERROR(INDEX('03.Muestra'!$F$8:$F$42,SMALL(IF("Página Web"='03.Muestra'!$D$8:$D$42,ROW('03.Muestra'!$F$8:$F$42)-MIN(ROW('03.Muestra'!$D$8:$D$42))+1,""),ROW()-968)),"")</f>
        <v>https://elecciones.comunidad.madrid/es/buzon-de-sugerencias</v>
      </c>
      <c r="D984" s="99" t="s">
        <v>174</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cm="1">
        <f t="array" ref="A985">IFERROR(INDEX('03.Muestra'!$B$8:$B$42,SMALL(IF("Página Web"='03.Muestra'!$D$8:$D$42,ROW('03.Muestra'!$B$8:$B$42)-MIN(ROW('03.Muestra'!$D$8:$D$42))+1,""),ROW()-968)),"")</f>
        <v>17</v>
      </c>
      <c r="B985" s="85" t="str" cm="1">
        <f t="array" ref="B985">IFERROR(INDEX('03.Muestra'!$C$8:$C$42,SMALL(IF("Página Web"='03.Muestra'!$D$8:$D$42,ROW('03.Muestra'!$C$8:$C$42)-MIN(ROW('03.Muestra'!$D$8:$D$42))+1,""),ROW()-968)),"")</f>
        <v>Buscador</v>
      </c>
      <c r="C985" s="85" t="str" cm="1">
        <f t="array" ref="C985">IFERROR(INDEX('03.Muestra'!$F$8:$F$42,SMALL(IF("Página Web"='03.Muestra'!$D$8:$D$42,ROW('03.Muestra'!$F$8:$F$42)-MIN(ROW('03.Muestra'!$D$8:$D$42))+1,""),ROW()-968)),"")</f>
        <v>https://elecciones.comunidad.madrid/es/search?search_api_fulltext=partido</v>
      </c>
      <c r="D985" s="99" t="s">
        <v>174</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cm="1">
        <f t="array" ref="A986">IFERROR(INDEX('03.Muestra'!$B$8:$B$42,SMALL(IF("Página Web"='03.Muestra'!$D$8:$D$42,ROW('03.Muestra'!$B$8:$B$42)-MIN(ROW('03.Muestra'!$D$8:$D$42))+1,""),ROW()-968)),"")</f>
        <v>18</v>
      </c>
      <c r="B986" s="85" t="str" cm="1">
        <f t="array" ref="B986">IFERROR(INDEX('03.Muestra'!$C$8:$C$42,SMALL(IF("Página Web"='03.Muestra'!$D$8:$D$42,ROW('03.Muestra'!$C$8:$C$42)-MIN(ROW('03.Muestra'!$D$8:$D$42))+1,""),ROW()-968)),"")</f>
        <v>Aviso Legal-Privacidad</v>
      </c>
      <c r="C986" s="85" t="str" cm="1">
        <f t="array" ref="C986">IFERROR(INDEX('03.Muestra'!$F$8:$F$42,SMALL(IF("Página Web"='03.Muestra'!$D$8:$D$42,ROW('03.Muestra'!$F$8:$F$42)-MIN(ROW('03.Muestra'!$D$8:$D$42))+1,""),ROW()-968)),"")</f>
        <v>https://elecciones.comunidad.madrid/es/aviso-legal</v>
      </c>
      <c r="D986" s="99" t="s">
        <v>174</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cm="1">
        <f t="array" ref="A987">IFERROR(INDEX('03.Muestra'!$B$8:$B$42,SMALL(IF("Página Web"='03.Muestra'!$D$8:$D$42,ROW('03.Muestra'!$B$8:$B$42)-MIN(ROW('03.Muestra'!$D$8:$D$42))+1,""),ROW()-968)),"")</f>
        <v>19</v>
      </c>
      <c r="B987" s="85" t="str" cm="1">
        <f t="array" ref="B987">IFERROR(INDEX('03.Muestra'!$C$8:$C$42,SMALL(IF("Página Web"='03.Muestra'!$D$8:$D$42,ROW('03.Muestra'!$C$8:$C$42)-MIN(ROW('03.Muestra'!$D$8:$D$42))+1,""),ROW()-968)),"")</f>
        <v>Mapa Web</v>
      </c>
      <c r="C987" s="85" t="str" cm="1">
        <f t="array" ref="C987">IFERROR(INDEX('03.Muestra'!$F$8:$F$42,SMALL(IF("Página Web"='03.Muestra'!$D$8:$D$42,ROW('03.Muestra'!$F$8:$F$42)-MIN(ROW('03.Muestra'!$D$8:$D$42))+1,""),ROW()-968)),"")</f>
        <v>https://elecciones.comunidad.madrid/es/sitemap</v>
      </c>
      <c r="D987" s="99" t="s">
        <v>174</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cm="1">
        <f t="array" ref="A988">IFERROR(INDEX('03.Muestra'!$B$8:$B$42,SMALL(IF("Página Web"='03.Muestra'!$D$8:$D$42,ROW('03.Muestra'!$B$8:$B$42)-MIN(ROW('03.Muestra'!$D$8:$D$42))+1,""),ROW()-968)),"")</f>
        <v>20</v>
      </c>
      <c r="B988" s="85" t="str" cm="1">
        <f t="array" ref="B988">IFERROR(INDEX('03.Muestra'!$C$8:$C$42,SMALL(IF("Página Web"='03.Muestra'!$D$8:$D$42,ROW('03.Muestra'!$C$8:$C$42)-MIN(ROW('03.Muestra'!$D$8:$D$42))+1,""),ROW()-968)),"")</f>
        <v>Declaracion Accesibilidad</v>
      </c>
      <c r="C988" s="85" t="str" cm="1">
        <f t="array" ref="C988">IFERROR(INDEX('03.Muestra'!$F$8:$F$42,SMALL(IF("Página Web"='03.Muestra'!$D$8:$D$42,ROW('03.Muestra'!$F$8:$F$42)-MIN(ROW('03.Muestra'!$D$8:$D$42))+1,""),ROW()-968)),"")</f>
        <v>https://elecciones.comunidad.madrid/es/accesibilidad</v>
      </c>
      <c r="D988" s="211" t="s">
        <v>174</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ref="D989:D1003" si="51">IF(AND(B989&lt;&gt;"",C989&lt;&gt;""),"N/T","")</f>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181</v>
      </c>
      <c r="B1006" s="23" t="s">
        <v>173</v>
      </c>
      <c r="C1006" s="24" t="s">
        <v>250</v>
      </c>
      <c r="D1006" s="25" t="s">
        <v>183</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Inicio</v>
      </c>
      <c r="C1007" s="85" t="str" cm="1">
        <f t="array" ref="C1007">IFERROR(INDEX('03.Muestra'!$F$8:$F$42,SMALL(IF("Página Web"='03.Muestra'!$D$8:$D$42,ROW('03.Muestra'!$F$8:$F$42)-MIN(ROW('03.Muestra'!$D$8:$D$42))+1,""),ROW()-1006)),"")</f>
        <v>https://elecciones.comunidad.madrid/es</v>
      </c>
      <c r="D1007" s="99" t="s">
        <v>174</v>
      </c>
      <c r="E1007" s="79" t="str">
        <f t="shared" ref="E1007:E1041" si="52">IF(D1007&lt;&gt;"",IF(AND(B1007&lt;&gt;"",C1007&lt;&gt;""),"","ERR"),"")</f>
        <v/>
      </c>
      <c r="F1007" s="86" t="s">
        <v>185</v>
      </c>
      <c r="G1007" s="87" t="s">
        <v>186</v>
      </c>
      <c r="H1007" s="88" t="s">
        <v>184</v>
      </c>
      <c r="I1007" s="89" t="s">
        <v>176</v>
      </c>
      <c r="J1007" s="90" t="s">
        <v>174</v>
      </c>
      <c r="K1007" s="179" t="s">
        <v>180</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Resultado Elecciones 28M 2023</v>
      </c>
      <c r="C1008" s="85" t="str" cm="1">
        <f t="array" ref="C1008">IFERROR(INDEX('03.Muestra'!$F$8:$F$42,SMALL(IF("Página Web"='03.Muestra'!$D$8:$D$42,ROW('03.Muestra'!$F$8:$F$42)-MIN(ROW('03.Muestra'!$D$8:$D$42))+1,""),ROW()-1006)),"")</f>
        <v>https://elecciones.comunidad.madrid/es/resultados-elecciones-asamblea-madrid-28m-2023</v>
      </c>
      <c r="D1008" s="99" t="s">
        <v>174</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2</v>
      </c>
      <c r="J1008" s="91">
        <f ca="1">COUNTIF($D1007:INDIRECT("$D" &amp;  SUM(ROW()-1,'03.Muestra'!$D$45)-1),J1007)</f>
        <v>18</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Normativa electoral</v>
      </c>
      <c r="C1009" s="85" t="str" cm="1">
        <f t="array" ref="C1009">IFERROR(INDEX('03.Muestra'!$F$8:$F$42,SMALL(IF("Página Web"='03.Muestra'!$D$8:$D$42,ROW('03.Muestra'!$F$8:$F$42)-MIN(ROW('03.Muestra'!$D$8:$D$42))+1,""),ROW()-1006)),"")</f>
        <v>https://elecciones.comunidad.madrid/es/informacion-electoral/normativa-electoral</v>
      </c>
      <c r="D1009" s="99" t="s">
        <v>174</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Calendario electoral</v>
      </c>
      <c r="C1010" s="85" t="str" cm="1">
        <f t="array" ref="C1010">IFERROR(INDEX('03.Muestra'!$F$8:$F$42,SMALL(IF("Página Web"='03.Muestra'!$D$8:$D$42,ROW('03.Muestra'!$F$8:$F$42)-MIN(ROW('03.Muestra'!$D$8:$D$42))+1,""),ROW()-1006)),"")</f>
        <v>https://elecciones.comunidad.madrid/es/informacion-electoral/calendario-electoral</v>
      </c>
      <c r="D1010" s="99" t="s">
        <v>174</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Direcciones y teléfonos</v>
      </c>
      <c r="C1011" s="85" t="str" cm="1">
        <f t="array" ref="C1011">IFERROR(INDEX('03.Muestra'!$F$8:$F$42,SMALL(IF("Página Web"='03.Muestra'!$D$8:$D$42,ROW('03.Muestra'!$F$8:$F$42)-MIN(ROW('03.Muestra'!$D$8:$D$42))+1,""),ROW()-1006)),"")</f>
        <v>https://elecciones.comunidad.madrid/es/juntas-electorales/direcciones-telefonos</v>
      </c>
      <c r="D1011" s="99" t="s">
        <v>174</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Impresos electrónicos</v>
      </c>
      <c r="C1012" s="85" t="str" cm="1">
        <f t="array" ref="C1012">IFERROR(INDEX('03.Muestra'!$F$8:$F$42,SMALL(IF("Página Web"='03.Muestra'!$D$8:$D$42,ROW('03.Muestra'!$F$8:$F$42)-MIN(ROW('03.Muestra'!$D$8:$D$42))+1,""),ROW()-1006)),"")</f>
        <v>https://elecciones.comunidad.madrid/es/formaciones-politicas/impresos-electronicos</v>
      </c>
      <c r="D1012" s="99" t="s">
        <v>174</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Listado de candidaturas</v>
      </c>
      <c r="C1013" s="85" t="str" cm="1">
        <f t="array" ref="C1013">IFERROR(INDEX('03.Muestra'!$F$8:$F$42,SMALL(IF("Página Web"='03.Muestra'!$D$8:$D$42,ROW('03.Muestra'!$F$8:$F$42)-MIN(ROW('03.Muestra'!$D$8:$D$42))+1,""),ROW()-1006)),"")</f>
        <v>https://elecciones.comunidad.madrid/es/formaciones-politicas/listado-candidaturas-proclamadas</v>
      </c>
      <c r="D1013" s="99" t="s">
        <v>174</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Partido Feminista de España</v>
      </c>
      <c r="C1014" s="85" t="str" cm="1">
        <f t="array" ref="C1014">IFERROR(INDEX('03.Muestra'!$F$8:$F$42,SMALL(IF("Página Web"='03.Muestra'!$D$8:$D$42,ROW('03.Muestra'!$F$8:$F$42)-MIN(ROW('03.Muestra'!$D$8:$D$42))+1,""),ROW()-1006)),"")</f>
        <v>https://elecciones.comunidad.madrid/es/formaciones-politicas/listado-candidaturas/partido-feminista-espana</v>
      </c>
      <c r="D1014" s="99" t="s">
        <v>174</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cm="1">
        <f t="array" ref="A1015">IFERROR(INDEX('03.Muestra'!$B$8:$B$42,SMALL(IF("Página Web"='03.Muestra'!$D$8:$D$42,ROW('03.Muestra'!$B$8:$B$42)-MIN(ROW('03.Muestra'!$D$8:$D$42))+1,""),ROW()-1006)),"")</f>
        <v>9</v>
      </c>
      <c r="B1015" s="85" t="str" cm="1">
        <f t="array" ref="B1015">IFERROR(INDEX('03.Muestra'!$C$8:$C$42,SMALL(IF("Página Web"='03.Muestra'!$D$8:$D$42,ROW('03.Muestra'!$C$8:$C$42)-MIN(ROW('03.Muestra'!$D$8:$D$42))+1,""),ROW()-1006)),"")</f>
        <v>¿Dónde voto?</v>
      </c>
      <c r="C1015" s="85" t="str" cm="1">
        <f t="array" ref="C1015">IFERROR(INDEX('03.Muestra'!$F$8:$F$42,SMALL(IF("Página Web"='03.Muestra'!$D$8:$D$42,ROW('03.Muestra'!$F$8:$F$42)-MIN(ROW('03.Muestra'!$D$8:$D$42))+1,""),ROW()-1006)),"")</f>
        <v>https://elecciones.comunidad.madrid/es/votar/donde-voto</v>
      </c>
      <c r="D1015" s="99" t="s">
        <v>174</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cm="1">
        <f t="array" ref="A1016">IFERROR(INDEX('03.Muestra'!$B$8:$B$42,SMALL(IF("Página Web"='03.Muestra'!$D$8:$D$42,ROW('03.Muestra'!$B$8:$B$42)-MIN(ROW('03.Muestra'!$D$8:$D$42))+1,""),ROW()-1006)),"")</f>
        <v>10</v>
      </c>
      <c r="B1016" s="85" t="str" cm="1">
        <f t="array" ref="B1016">IFERROR(INDEX('03.Muestra'!$C$8:$C$42,SMALL(IF("Página Web"='03.Muestra'!$D$8:$D$42,ROW('03.Muestra'!$C$8:$C$42)-MIN(ROW('03.Muestra'!$D$8:$D$42))+1,""),ROW()-1006)),"")</f>
        <v>Voto presencial</v>
      </c>
      <c r="C1016" s="85" t="str" cm="1">
        <f t="array" ref="C1016">IFERROR(INDEX('03.Muestra'!$F$8:$F$42,SMALL(IF("Página Web"='03.Muestra'!$D$8:$D$42,ROW('03.Muestra'!$F$8:$F$42)-MIN(ROW('03.Muestra'!$D$8:$D$42))+1,""),ROW()-1006)),"")</f>
        <v>https://elecciones.comunidad.madrid/es/voto-local-electoral/voto-presencial</v>
      </c>
      <c r="D1016" s="99" t="s">
        <v>174</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cm="1">
        <f t="array" ref="A1017">IFERROR(INDEX('03.Muestra'!$B$8:$B$42,SMALL(IF("Página Web"='03.Muestra'!$D$8:$D$42,ROW('03.Muestra'!$B$8:$B$42)-MIN(ROW('03.Muestra'!$D$8:$D$42))+1,""),ROW()-1006)),"")</f>
        <v>11</v>
      </c>
      <c r="B1017" s="85" t="str" cm="1">
        <f t="array" ref="B1017">IFERROR(INDEX('03.Muestra'!$C$8:$C$42,SMALL(IF("Página Web"='03.Muestra'!$D$8:$D$42,ROW('03.Muestra'!$C$8:$C$42)-MIN(ROW('03.Muestra'!$D$8:$D$42))+1,""),ROW()-1006)),"")</f>
        <v>Ciudadanos temporalmente en el extranjero</v>
      </c>
      <c r="C1017" s="85" t="str" cm="1">
        <f t="array" ref="C1017">IFERROR(INDEX('03.Muestra'!$F$8:$F$42,SMALL(IF("Página Web"='03.Muestra'!$D$8:$D$42,ROW('03.Muestra'!$F$8:$F$42)-MIN(ROW('03.Muestra'!$D$8:$D$42))+1,""),ROW()-1006)),"")</f>
        <v>https://elecciones.comunidad.madrid/es/voto-correo/solicitud-voto-temporalmente-ausentes</v>
      </c>
      <c r="D1017" s="99" t="s">
        <v>174</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cm="1">
        <f t="array" ref="A1018">IFERROR(INDEX('03.Muestra'!$B$8:$B$42,SMALL(IF("Página Web"='03.Muestra'!$D$8:$D$42,ROW('03.Muestra'!$B$8:$B$42)-MIN(ROW('03.Muestra'!$D$8:$D$42))+1,""),ROW()-1006)),"")</f>
        <v>12</v>
      </c>
      <c r="B1018" s="85" t="str" cm="1">
        <f t="array" ref="B1018">IFERROR(INDEX('03.Muestra'!$C$8:$C$42,SMALL(IF("Página Web"='03.Muestra'!$D$8:$D$42,ROW('03.Muestra'!$C$8:$C$42)-MIN(ROW('03.Muestra'!$D$8:$D$42))+1,""),ROW()-1006)),"")</f>
        <v>Nuevo votante</v>
      </c>
      <c r="C1018" s="85" t="str" cm="1">
        <f t="array" ref="C1018">IFERROR(INDEX('03.Muestra'!$F$8:$F$42,SMALL(IF("Página Web"='03.Muestra'!$D$8:$D$42,ROW('03.Muestra'!$F$8:$F$42)-MIN(ROW('03.Muestra'!$D$8:$D$42))+1,""),ROW()-1006)),"")</f>
        <v>https://elecciones.comunidad.madrid/es/votar/nuevo-votante</v>
      </c>
      <c r="D1018" s="99" t="s">
        <v>174</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cm="1">
        <f t="array" ref="A1019">IFERROR(INDEX('03.Muestra'!$B$8:$B$42,SMALL(IF("Página Web"='03.Muestra'!$D$8:$D$42,ROW('03.Muestra'!$B$8:$B$42)-MIN(ROW('03.Muestra'!$D$8:$D$42))+1,""),ROW()-1006)),"")</f>
        <v>13</v>
      </c>
      <c r="B1019" s="85" t="str" cm="1">
        <f t="array" ref="B1019">IFERROR(INDEX('03.Muestra'!$C$8:$C$42,SMALL(IF("Página Web"='03.Muestra'!$D$8:$D$42,ROW('03.Muestra'!$C$8:$C$42)-MIN(ROW('03.Muestra'!$D$8:$D$42))+1,""),ROW()-1006)),"")</f>
        <v>Simulación método D'Hondt</v>
      </c>
      <c r="C1019" s="85" t="str" cm="1">
        <f t="array" ref="C1019">IFERROR(INDEX('03.Muestra'!$F$8:$F$42,SMALL(IF("Página Web"='03.Muestra'!$D$8:$D$42,ROW('03.Muestra'!$F$8:$F$42)-MIN(ROW('03.Muestra'!$D$8:$D$42))+1,""),ROW()-1006)),"")</f>
        <v>https://elecciones.comunidad.madrid/es/informacion-util/simulacion-metodo-dhondt</v>
      </c>
      <c r="D1019" s="99" t="s">
        <v>174</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cm="1">
        <f t="array" ref="A1020">IFERROR(INDEX('03.Muestra'!$B$8:$B$42,SMALL(IF("Página Web"='03.Muestra'!$D$8:$D$42,ROW('03.Muestra'!$B$8:$B$42)-MIN(ROW('03.Muestra'!$D$8:$D$42))+1,""),ROW()-1006)),"")</f>
        <v>14</v>
      </c>
      <c r="B1020" s="85" t="str" cm="1">
        <f t="array" ref="B1020">IFERROR(INDEX('03.Muestra'!$C$8:$C$42,SMALL(IF("Página Web"='03.Muestra'!$D$8:$D$42,ROW('03.Muestra'!$C$8:$C$42)-MIN(ROW('03.Muestra'!$D$8:$D$42))+1,""),ROW()-1006)),"")</f>
        <v>Ley D'Hondt</v>
      </c>
      <c r="C1020" s="85" t="str" cm="1">
        <f t="array" ref="C1020">IFERROR(INDEX('03.Muestra'!$F$8:$F$42,SMALL(IF("Página Web"='03.Muestra'!$D$8:$D$42,ROW('03.Muestra'!$F$8:$F$42)-MIN(ROW('03.Muestra'!$D$8:$D$42))+1,""),ROW()-1006)),"")</f>
        <v>https://elecciones.comunidad.madrid/es/resultados/ley_d_hondt</v>
      </c>
      <c r="D1020" s="99" t="s">
        <v>176</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cm="1">
        <f t="array" ref="A1021">IFERROR(INDEX('03.Muestra'!$B$8:$B$42,SMALL(IF("Página Web"='03.Muestra'!$D$8:$D$42,ROW('03.Muestra'!$B$8:$B$42)-MIN(ROW('03.Muestra'!$D$8:$D$42))+1,""),ROW()-1006)),"")</f>
        <v>15</v>
      </c>
      <c r="B1021" s="85" t="str" cm="1">
        <f t="array" ref="B1021">IFERROR(INDEX('03.Muestra'!$C$8:$C$42,SMALL(IF("Página Web"='03.Muestra'!$D$8:$D$42,ROW('03.Muestra'!$C$8:$C$42)-MIN(ROW('03.Muestra'!$D$8:$D$42))+1,""),ROW()-1006)),"")</f>
        <v>Voto por correo elector CERA en España</v>
      </c>
      <c r="C1021" s="85" t="str" cm="1">
        <f t="array" ref="C1021">IFERROR(INDEX('03.Muestra'!$F$8:$F$42,SMALL(IF("Página Web"='03.Muestra'!$D$8:$D$42,ROW('03.Muestra'!$F$8:$F$42)-MIN(ROW('03.Muestra'!$D$8:$D$42))+1,""),ROW()-1006)),"")</f>
        <v>https://elecciones.comunidad.madrid/es/preguntas-frecuentes/voto-correo-electores-residentes-extranjero</v>
      </c>
      <c r="D1021" s="99" t="s">
        <v>174</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cm="1">
        <f t="array" ref="A1022">IFERROR(INDEX('03.Muestra'!$B$8:$B$42,SMALL(IF("Página Web"='03.Muestra'!$D$8:$D$42,ROW('03.Muestra'!$B$8:$B$42)-MIN(ROW('03.Muestra'!$D$8:$D$42))+1,""),ROW()-1006)),"")</f>
        <v>16</v>
      </c>
      <c r="B1022" s="85" t="str" cm="1">
        <f t="array" ref="B1022">IFERROR(INDEX('03.Muestra'!$C$8:$C$42,SMALL(IF("Página Web"='03.Muestra'!$D$8:$D$42,ROW('03.Muestra'!$C$8:$C$42)-MIN(ROW('03.Muestra'!$D$8:$D$42))+1,""),ROW()-1006)),"")</f>
        <v>Contacto</v>
      </c>
      <c r="C1022" s="85" t="str" cm="1">
        <f t="array" ref="C1022">IFERROR(INDEX('03.Muestra'!$F$8:$F$42,SMALL(IF("Página Web"='03.Muestra'!$D$8:$D$42,ROW('03.Muestra'!$F$8:$F$42)-MIN(ROW('03.Muestra'!$D$8:$D$42))+1,""),ROW()-1006)),"")</f>
        <v>https://elecciones.comunidad.madrid/es/buzon-de-sugerencias</v>
      </c>
      <c r="D1022" s="99" t="s">
        <v>176</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cm="1">
        <f t="array" ref="A1023">IFERROR(INDEX('03.Muestra'!$B$8:$B$42,SMALL(IF("Página Web"='03.Muestra'!$D$8:$D$42,ROW('03.Muestra'!$B$8:$B$42)-MIN(ROW('03.Muestra'!$D$8:$D$42))+1,""),ROW()-1006)),"")</f>
        <v>17</v>
      </c>
      <c r="B1023" s="85" t="str" cm="1">
        <f t="array" ref="B1023">IFERROR(INDEX('03.Muestra'!$C$8:$C$42,SMALL(IF("Página Web"='03.Muestra'!$D$8:$D$42,ROW('03.Muestra'!$C$8:$C$42)-MIN(ROW('03.Muestra'!$D$8:$D$42))+1,""),ROW()-1006)),"")</f>
        <v>Buscador</v>
      </c>
      <c r="C1023" s="85" t="str" cm="1">
        <f t="array" ref="C1023">IFERROR(INDEX('03.Muestra'!$F$8:$F$42,SMALL(IF("Página Web"='03.Muestra'!$D$8:$D$42,ROW('03.Muestra'!$F$8:$F$42)-MIN(ROW('03.Muestra'!$D$8:$D$42))+1,""),ROW()-1006)),"")</f>
        <v>https://elecciones.comunidad.madrid/es/search?search_api_fulltext=partido</v>
      </c>
      <c r="D1023" s="99" t="s">
        <v>174</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cm="1">
        <f t="array" ref="A1024">IFERROR(INDEX('03.Muestra'!$B$8:$B$42,SMALL(IF("Página Web"='03.Muestra'!$D$8:$D$42,ROW('03.Muestra'!$B$8:$B$42)-MIN(ROW('03.Muestra'!$D$8:$D$42))+1,""),ROW()-1006)),"")</f>
        <v>18</v>
      </c>
      <c r="B1024" s="85" t="str" cm="1">
        <f t="array" ref="B1024">IFERROR(INDEX('03.Muestra'!$C$8:$C$42,SMALL(IF("Página Web"='03.Muestra'!$D$8:$D$42,ROW('03.Muestra'!$C$8:$C$42)-MIN(ROW('03.Muestra'!$D$8:$D$42))+1,""),ROW()-1006)),"")</f>
        <v>Aviso Legal-Privacidad</v>
      </c>
      <c r="C1024" s="85" t="str" cm="1">
        <f t="array" ref="C1024">IFERROR(INDEX('03.Muestra'!$F$8:$F$42,SMALL(IF("Página Web"='03.Muestra'!$D$8:$D$42,ROW('03.Muestra'!$F$8:$F$42)-MIN(ROW('03.Muestra'!$D$8:$D$42))+1,""),ROW()-1006)),"")</f>
        <v>https://elecciones.comunidad.madrid/es/aviso-legal</v>
      </c>
      <c r="D1024" s="99" t="s">
        <v>174</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cm="1">
        <f t="array" ref="A1025">IFERROR(INDEX('03.Muestra'!$B$8:$B$42,SMALL(IF("Página Web"='03.Muestra'!$D$8:$D$42,ROW('03.Muestra'!$B$8:$B$42)-MIN(ROW('03.Muestra'!$D$8:$D$42))+1,""),ROW()-1006)),"")</f>
        <v>19</v>
      </c>
      <c r="B1025" s="85" t="str" cm="1">
        <f t="array" ref="B1025">IFERROR(INDEX('03.Muestra'!$C$8:$C$42,SMALL(IF("Página Web"='03.Muestra'!$D$8:$D$42,ROW('03.Muestra'!$C$8:$C$42)-MIN(ROW('03.Muestra'!$D$8:$D$42))+1,""),ROW()-1006)),"")</f>
        <v>Mapa Web</v>
      </c>
      <c r="C1025" s="85" t="str" cm="1">
        <f t="array" ref="C1025">IFERROR(INDEX('03.Muestra'!$F$8:$F$42,SMALL(IF("Página Web"='03.Muestra'!$D$8:$D$42,ROW('03.Muestra'!$F$8:$F$42)-MIN(ROW('03.Muestra'!$D$8:$D$42))+1,""),ROW()-1006)),"")</f>
        <v>https://elecciones.comunidad.madrid/es/sitemap</v>
      </c>
      <c r="D1025" s="99" t="s">
        <v>174</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cm="1">
        <f t="array" ref="A1026">IFERROR(INDEX('03.Muestra'!$B$8:$B$42,SMALL(IF("Página Web"='03.Muestra'!$D$8:$D$42,ROW('03.Muestra'!$B$8:$B$42)-MIN(ROW('03.Muestra'!$D$8:$D$42))+1,""),ROW()-1006)),"")</f>
        <v>20</v>
      </c>
      <c r="B1026" s="85" t="str" cm="1">
        <f t="array" ref="B1026">IFERROR(INDEX('03.Muestra'!$C$8:$C$42,SMALL(IF("Página Web"='03.Muestra'!$D$8:$D$42,ROW('03.Muestra'!$C$8:$C$42)-MIN(ROW('03.Muestra'!$D$8:$D$42))+1,""),ROW()-1006)),"")</f>
        <v>Declaracion Accesibilidad</v>
      </c>
      <c r="C1026" s="85" t="str" cm="1">
        <f t="array" ref="C1026">IFERROR(INDEX('03.Muestra'!$F$8:$F$42,SMALL(IF("Página Web"='03.Muestra'!$D$8:$D$42,ROW('03.Muestra'!$F$8:$F$42)-MIN(ROW('03.Muestra'!$D$8:$D$42))+1,""),ROW()-1006)),"")</f>
        <v>https://elecciones.comunidad.madrid/es/accesibilidad</v>
      </c>
      <c r="D1026" s="99" t="s">
        <v>174</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ref="D1027:D1041" si="53">IF(AND(B1027&lt;&gt;"",C1027&lt;&gt;""),"N/T","")</f>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181</v>
      </c>
      <c r="B1044" s="23" t="s">
        <v>173</v>
      </c>
      <c r="C1044" s="24" t="s">
        <v>251</v>
      </c>
      <c r="D1044" s="25" t="s">
        <v>183</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Inicio</v>
      </c>
      <c r="C1045" s="85" t="str" cm="1">
        <f t="array" ref="C1045">IFERROR(INDEX('03.Muestra'!$F$8:$F$42,SMALL(IF("Página Web"='03.Muestra'!$D$8:$D$42,ROW('03.Muestra'!$F$8:$F$42)-MIN(ROW('03.Muestra'!$D$8:$D$42))+1,""),ROW()-1044)),"")</f>
        <v>https://elecciones.comunidad.madrid/es</v>
      </c>
      <c r="D1045" s="99" t="s">
        <v>176</v>
      </c>
      <c r="E1045" s="79" t="str">
        <f t="shared" ref="E1045:E1079" si="54">IF(D1045&lt;&gt;"",IF(AND(B1045&lt;&gt;"",C1045&lt;&gt;""),"","ERR"),"")</f>
        <v/>
      </c>
      <c r="F1045" s="86" t="s">
        <v>185</v>
      </c>
      <c r="G1045" s="87" t="s">
        <v>186</v>
      </c>
      <c r="H1045" s="88" t="s">
        <v>184</v>
      </c>
      <c r="I1045" s="89" t="s">
        <v>176</v>
      </c>
      <c r="J1045" s="90" t="s">
        <v>174</v>
      </c>
      <c r="K1045" s="179" t="s">
        <v>180</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Resultado Elecciones 28M 2023</v>
      </c>
      <c r="C1046" s="85" t="str" cm="1">
        <f t="array" ref="C1046">IFERROR(INDEX('03.Muestra'!$F$8:$F$42,SMALL(IF("Página Web"='03.Muestra'!$D$8:$D$42,ROW('03.Muestra'!$F$8:$F$42)-MIN(ROW('03.Muestra'!$D$8:$D$42))+1,""),ROW()-1044)),"")</f>
        <v>https://elecciones.comunidad.madrid/es/resultados-elecciones-asamblea-madrid-28m-2023</v>
      </c>
      <c r="D1046" s="99" t="s">
        <v>176</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20</v>
      </c>
      <c r="J1046" s="91">
        <f ca="1">COUNTIF($D1045:INDIRECT("$D" &amp;  SUM(ROW()-1,'03.Muestra'!$D$45)-1),J1045)</f>
        <v>0</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Normativa electoral</v>
      </c>
      <c r="C1047" s="85" t="str" cm="1">
        <f t="array" ref="C1047">IFERROR(INDEX('03.Muestra'!$F$8:$F$42,SMALL(IF("Página Web"='03.Muestra'!$D$8:$D$42,ROW('03.Muestra'!$F$8:$F$42)-MIN(ROW('03.Muestra'!$D$8:$D$42))+1,""),ROW()-1044)),"")</f>
        <v>https://elecciones.comunidad.madrid/es/informacion-electoral/normativa-electoral</v>
      </c>
      <c r="D1047" s="99" t="s">
        <v>176</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Calendario electoral</v>
      </c>
      <c r="C1048" s="85" t="str" cm="1">
        <f t="array" ref="C1048">IFERROR(INDEX('03.Muestra'!$F$8:$F$42,SMALL(IF("Página Web"='03.Muestra'!$D$8:$D$42,ROW('03.Muestra'!$F$8:$F$42)-MIN(ROW('03.Muestra'!$D$8:$D$42))+1,""),ROW()-1044)),"")</f>
        <v>https://elecciones.comunidad.madrid/es/informacion-electoral/calendario-electoral</v>
      </c>
      <c r="D1048" s="99" t="s">
        <v>176</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Direcciones y teléfonos</v>
      </c>
      <c r="C1049" s="85" t="str" cm="1">
        <f t="array" ref="C1049">IFERROR(INDEX('03.Muestra'!$F$8:$F$42,SMALL(IF("Página Web"='03.Muestra'!$D$8:$D$42,ROW('03.Muestra'!$F$8:$F$42)-MIN(ROW('03.Muestra'!$D$8:$D$42))+1,""),ROW()-1044)),"")</f>
        <v>https://elecciones.comunidad.madrid/es/juntas-electorales/direcciones-telefonos</v>
      </c>
      <c r="D1049" s="99" t="s">
        <v>176</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Impresos electrónicos</v>
      </c>
      <c r="C1050" s="85" t="str" cm="1">
        <f t="array" ref="C1050">IFERROR(INDEX('03.Muestra'!$F$8:$F$42,SMALL(IF("Página Web"='03.Muestra'!$D$8:$D$42,ROW('03.Muestra'!$F$8:$F$42)-MIN(ROW('03.Muestra'!$D$8:$D$42))+1,""),ROW()-1044)),"")</f>
        <v>https://elecciones.comunidad.madrid/es/formaciones-politicas/impresos-electronicos</v>
      </c>
      <c r="D1050" s="99" t="s">
        <v>176</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Listado de candidaturas</v>
      </c>
      <c r="C1051" s="85" t="str" cm="1">
        <f t="array" ref="C1051">IFERROR(INDEX('03.Muestra'!$F$8:$F$42,SMALL(IF("Página Web"='03.Muestra'!$D$8:$D$42,ROW('03.Muestra'!$F$8:$F$42)-MIN(ROW('03.Muestra'!$D$8:$D$42))+1,""),ROW()-1044)),"")</f>
        <v>https://elecciones.comunidad.madrid/es/formaciones-politicas/listado-candidaturas-proclamadas</v>
      </c>
      <c r="D1051" s="99" t="s">
        <v>176</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Partido Feminista de España</v>
      </c>
      <c r="C1052" s="85" t="str" cm="1">
        <f t="array" ref="C1052">IFERROR(INDEX('03.Muestra'!$F$8:$F$42,SMALL(IF("Página Web"='03.Muestra'!$D$8:$D$42,ROW('03.Muestra'!$F$8:$F$42)-MIN(ROW('03.Muestra'!$D$8:$D$42))+1,""),ROW()-1044)),"")</f>
        <v>https://elecciones.comunidad.madrid/es/formaciones-politicas/listado-candidaturas/partido-feminista-espana</v>
      </c>
      <c r="D1052" s="99" t="s">
        <v>176</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cm="1">
        <f t="array" ref="A1053">IFERROR(INDEX('03.Muestra'!$B$8:$B$42,SMALL(IF("Página Web"='03.Muestra'!$D$8:$D$42,ROW('03.Muestra'!$B$8:$B$42)-MIN(ROW('03.Muestra'!$D$8:$D$42))+1,""),ROW()-1044)),"")</f>
        <v>9</v>
      </c>
      <c r="B1053" s="85" t="str" cm="1">
        <f t="array" ref="B1053">IFERROR(INDEX('03.Muestra'!$C$8:$C$42,SMALL(IF("Página Web"='03.Muestra'!$D$8:$D$42,ROW('03.Muestra'!$C$8:$C$42)-MIN(ROW('03.Muestra'!$D$8:$D$42))+1,""),ROW()-1044)),"")</f>
        <v>¿Dónde voto?</v>
      </c>
      <c r="C1053" s="85" t="str" cm="1">
        <f t="array" ref="C1053">IFERROR(INDEX('03.Muestra'!$F$8:$F$42,SMALL(IF("Página Web"='03.Muestra'!$D$8:$D$42,ROW('03.Muestra'!$F$8:$F$42)-MIN(ROW('03.Muestra'!$D$8:$D$42))+1,""),ROW()-1044)),"")</f>
        <v>https://elecciones.comunidad.madrid/es/votar/donde-voto</v>
      </c>
      <c r="D1053" s="99" t="s">
        <v>176</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cm="1">
        <f t="array" ref="A1054">IFERROR(INDEX('03.Muestra'!$B$8:$B$42,SMALL(IF("Página Web"='03.Muestra'!$D$8:$D$42,ROW('03.Muestra'!$B$8:$B$42)-MIN(ROW('03.Muestra'!$D$8:$D$42))+1,""),ROW()-1044)),"")</f>
        <v>10</v>
      </c>
      <c r="B1054" s="85" t="str" cm="1">
        <f t="array" ref="B1054">IFERROR(INDEX('03.Muestra'!$C$8:$C$42,SMALL(IF("Página Web"='03.Muestra'!$D$8:$D$42,ROW('03.Muestra'!$C$8:$C$42)-MIN(ROW('03.Muestra'!$D$8:$D$42))+1,""),ROW()-1044)),"")</f>
        <v>Voto presencial</v>
      </c>
      <c r="C1054" s="85" t="str" cm="1">
        <f t="array" ref="C1054">IFERROR(INDEX('03.Muestra'!$F$8:$F$42,SMALL(IF("Página Web"='03.Muestra'!$D$8:$D$42,ROW('03.Muestra'!$F$8:$F$42)-MIN(ROW('03.Muestra'!$D$8:$D$42))+1,""),ROW()-1044)),"")</f>
        <v>https://elecciones.comunidad.madrid/es/voto-local-electoral/voto-presencial</v>
      </c>
      <c r="D1054" s="99" t="s">
        <v>176</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cm="1">
        <f t="array" ref="A1055">IFERROR(INDEX('03.Muestra'!$B$8:$B$42,SMALL(IF("Página Web"='03.Muestra'!$D$8:$D$42,ROW('03.Muestra'!$B$8:$B$42)-MIN(ROW('03.Muestra'!$D$8:$D$42))+1,""),ROW()-1044)),"")</f>
        <v>11</v>
      </c>
      <c r="B1055" s="85" t="str" cm="1">
        <f t="array" ref="B1055">IFERROR(INDEX('03.Muestra'!$C$8:$C$42,SMALL(IF("Página Web"='03.Muestra'!$D$8:$D$42,ROW('03.Muestra'!$C$8:$C$42)-MIN(ROW('03.Muestra'!$D$8:$D$42))+1,""),ROW()-1044)),"")</f>
        <v>Ciudadanos temporalmente en el extranjero</v>
      </c>
      <c r="C1055" s="85" t="str" cm="1">
        <f t="array" ref="C1055">IFERROR(INDEX('03.Muestra'!$F$8:$F$42,SMALL(IF("Página Web"='03.Muestra'!$D$8:$D$42,ROW('03.Muestra'!$F$8:$F$42)-MIN(ROW('03.Muestra'!$D$8:$D$42))+1,""),ROW()-1044)),"")</f>
        <v>https://elecciones.comunidad.madrid/es/voto-correo/solicitud-voto-temporalmente-ausentes</v>
      </c>
      <c r="D1055" s="99" t="s">
        <v>176</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cm="1">
        <f t="array" ref="A1056">IFERROR(INDEX('03.Muestra'!$B$8:$B$42,SMALL(IF("Página Web"='03.Muestra'!$D$8:$D$42,ROW('03.Muestra'!$B$8:$B$42)-MIN(ROW('03.Muestra'!$D$8:$D$42))+1,""),ROW()-1044)),"")</f>
        <v>12</v>
      </c>
      <c r="B1056" s="85" t="str" cm="1">
        <f t="array" ref="B1056">IFERROR(INDEX('03.Muestra'!$C$8:$C$42,SMALL(IF("Página Web"='03.Muestra'!$D$8:$D$42,ROW('03.Muestra'!$C$8:$C$42)-MIN(ROW('03.Muestra'!$D$8:$D$42))+1,""),ROW()-1044)),"")</f>
        <v>Nuevo votante</v>
      </c>
      <c r="C1056" s="85" t="str" cm="1">
        <f t="array" ref="C1056">IFERROR(INDEX('03.Muestra'!$F$8:$F$42,SMALL(IF("Página Web"='03.Muestra'!$D$8:$D$42,ROW('03.Muestra'!$F$8:$F$42)-MIN(ROW('03.Muestra'!$D$8:$D$42))+1,""),ROW()-1044)),"")</f>
        <v>https://elecciones.comunidad.madrid/es/votar/nuevo-votante</v>
      </c>
      <c r="D1056" s="99" t="s">
        <v>176</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cm="1">
        <f t="array" ref="A1057">IFERROR(INDEX('03.Muestra'!$B$8:$B$42,SMALL(IF("Página Web"='03.Muestra'!$D$8:$D$42,ROW('03.Muestra'!$B$8:$B$42)-MIN(ROW('03.Muestra'!$D$8:$D$42))+1,""),ROW()-1044)),"")</f>
        <v>13</v>
      </c>
      <c r="B1057" s="85" t="str" cm="1">
        <f t="array" ref="B1057">IFERROR(INDEX('03.Muestra'!$C$8:$C$42,SMALL(IF("Página Web"='03.Muestra'!$D$8:$D$42,ROW('03.Muestra'!$C$8:$C$42)-MIN(ROW('03.Muestra'!$D$8:$D$42))+1,""),ROW()-1044)),"")</f>
        <v>Simulación método D'Hondt</v>
      </c>
      <c r="C1057" s="85" t="str" cm="1">
        <f t="array" ref="C1057">IFERROR(INDEX('03.Muestra'!$F$8:$F$42,SMALL(IF("Página Web"='03.Muestra'!$D$8:$D$42,ROW('03.Muestra'!$F$8:$F$42)-MIN(ROW('03.Muestra'!$D$8:$D$42))+1,""),ROW()-1044)),"")</f>
        <v>https://elecciones.comunidad.madrid/es/informacion-util/simulacion-metodo-dhondt</v>
      </c>
      <c r="D1057" s="99" t="s">
        <v>176</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cm="1">
        <f t="array" ref="A1058">IFERROR(INDEX('03.Muestra'!$B$8:$B$42,SMALL(IF("Página Web"='03.Muestra'!$D$8:$D$42,ROW('03.Muestra'!$B$8:$B$42)-MIN(ROW('03.Muestra'!$D$8:$D$42))+1,""),ROW()-1044)),"")</f>
        <v>14</v>
      </c>
      <c r="B1058" s="85" t="str" cm="1">
        <f t="array" ref="B1058">IFERROR(INDEX('03.Muestra'!$C$8:$C$42,SMALL(IF("Página Web"='03.Muestra'!$D$8:$D$42,ROW('03.Muestra'!$C$8:$C$42)-MIN(ROW('03.Muestra'!$D$8:$D$42))+1,""),ROW()-1044)),"")</f>
        <v>Ley D'Hondt</v>
      </c>
      <c r="C1058" s="85" t="str" cm="1">
        <f t="array" ref="C1058">IFERROR(INDEX('03.Muestra'!$F$8:$F$42,SMALL(IF("Página Web"='03.Muestra'!$D$8:$D$42,ROW('03.Muestra'!$F$8:$F$42)-MIN(ROW('03.Muestra'!$D$8:$D$42))+1,""),ROW()-1044)),"")</f>
        <v>https://elecciones.comunidad.madrid/es/resultados/ley_d_hondt</v>
      </c>
      <c r="D1058" s="99" t="s">
        <v>176</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cm="1">
        <f t="array" ref="A1059">IFERROR(INDEX('03.Muestra'!$B$8:$B$42,SMALL(IF("Página Web"='03.Muestra'!$D$8:$D$42,ROW('03.Muestra'!$B$8:$B$42)-MIN(ROW('03.Muestra'!$D$8:$D$42))+1,""),ROW()-1044)),"")</f>
        <v>15</v>
      </c>
      <c r="B1059" s="85" t="str" cm="1">
        <f t="array" ref="B1059">IFERROR(INDEX('03.Muestra'!$C$8:$C$42,SMALL(IF("Página Web"='03.Muestra'!$D$8:$D$42,ROW('03.Muestra'!$C$8:$C$42)-MIN(ROW('03.Muestra'!$D$8:$D$42))+1,""),ROW()-1044)),"")</f>
        <v>Voto por correo elector CERA en España</v>
      </c>
      <c r="C1059" s="85" t="str" cm="1">
        <f t="array" ref="C1059">IFERROR(INDEX('03.Muestra'!$F$8:$F$42,SMALL(IF("Página Web"='03.Muestra'!$D$8:$D$42,ROW('03.Muestra'!$F$8:$F$42)-MIN(ROW('03.Muestra'!$D$8:$D$42))+1,""),ROW()-1044)),"")</f>
        <v>https://elecciones.comunidad.madrid/es/preguntas-frecuentes/voto-correo-electores-residentes-extranjero</v>
      </c>
      <c r="D1059" s="99" t="s">
        <v>176</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cm="1">
        <f t="array" ref="A1060">IFERROR(INDEX('03.Muestra'!$B$8:$B$42,SMALL(IF("Página Web"='03.Muestra'!$D$8:$D$42,ROW('03.Muestra'!$B$8:$B$42)-MIN(ROW('03.Muestra'!$D$8:$D$42))+1,""),ROW()-1044)),"")</f>
        <v>16</v>
      </c>
      <c r="B1060" s="85" t="str" cm="1">
        <f t="array" ref="B1060">IFERROR(INDEX('03.Muestra'!$C$8:$C$42,SMALL(IF("Página Web"='03.Muestra'!$D$8:$D$42,ROW('03.Muestra'!$C$8:$C$42)-MIN(ROW('03.Muestra'!$D$8:$D$42))+1,""),ROW()-1044)),"")</f>
        <v>Contacto</v>
      </c>
      <c r="C1060" s="85" t="str" cm="1">
        <f t="array" ref="C1060">IFERROR(INDEX('03.Muestra'!$F$8:$F$42,SMALL(IF("Página Web"='03.Muestra'!$D$8:$D$42,ROW('03.Muestra'!$F$8:$F$42)-MIN(ROW('03.Muestra'!$D$8:$D$42))+1,""),ROW()-1044)),"")</f>
        <v>https://elecciones.comunidad.madrid/es/buzon-de-sugerencias</v>
      </c>
      <c r="D1060" s="99" t="s">
        <v>176</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cm="1">
        <f t="array" ref="A1061">IFERROR(INDEX('03.Muestra'!$B$8:$B$42,SMALL(IF("Página Web"='03.Muestra'!$D$8:$D$42,ROW('03.Muestra'!$B$8:$B$42)-MIN(ROW('03.Muestra'!$D$8:$D$42))+1,""),ROW()-1044)),"")</f>
        <v>17</v>
      </c>
      <c r="B1061" s="85" t="str" cm="1">
        <f t="array" ref="B1061">IFERROR(INDEX('03.Muestra'!$C$8:$C$42,SMALL(IF("Página Web"='03.Muestra'!$D$8:$D$42,ROW('03.Muestra'!$C$8:$C$42)-MIN(ROW('03.Muestra'!$D$8:$D$42))+1,""),ROW()-1044)),"")</f>
        <v>Buscador</v>
      </c>
      <c r="C1061" s="85" t="str" cm="1">
        <f t="array" ref="C1061">IFERROR(INDEX('03.Muestra'!$F$8:$F$42,SMALL(IF("Página Web"='03.Muestra'!$D$8:$D$42,ROW('03.Muestra'!$F$8:$F$42)-MIN(ROW('03.Muestra'!$D$8:$D$42))+1,""),ROW()-1044)),"")</f>
        <v>https://elecciones.comunidad.madrid/es/search?search_api_fulltext=partido</v>
      </c>
      <c r="D1061" s="99" t="s">
        <v>176</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cm="1">
        <f t="array" ref="A1062">IFERROR(INDEX('03.Muestra'!$B$8:$B$42,SMALL(IF("Página Web"='03.Muestra'!$D$8:$D$42,ROW('03.Muestra'!$B$8:$B$42)-MIN(ROW('03.Muestra'!$D$8:$D$42))+1,""),ROW()-1044)),"")</f>
        <v>18</v>
      </c>
      <c r="B1062" s="85" t="str" cm="1">
        <f t="array" ref="B1062">IFERROR(INDEX('03.Muestra'!$C$8:$C$42,SMALL(IF("Página Web"='03.Muestra'!$D$8:$D$42,ROW('03.Muestra'!$C$8:$C$42)-MIN(ROW('03.Muestra'!$D$8:$D$42))+1,""),ROW()-1044)),"")</f>
        <v>Aviso Legal-Privacidad</v>
      </c>
      <c r="C1062" s="85" t="str" cm="1">
        <f t="array" ref="C1062">IFERROR(INDEX('03.Muestra'!$F$8:$F$42,SMALL(IF("Página Web"='03.Muestra'!$D$8:$D$42,ROW('03.Muestra'!$F$8:$F$42)-MIN(ROW('03.Muestra'!$D$8:$D$42))+1,""),ROW()-1044)),"")</f>
        <v>https://elecciones.comunidad.madrid/es/aviso-legal</v>
      </c>
      <c r="D1062" s="99" t="s">
        <v>176</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cm="1">
        <f t="array" ref="A1063">IFERROR(INDEX('03.Muestra'!$B$8:$B$42,SMALL(IF("Página Web"='03.Muestra'!$D$8:$D$42,ROW('03.Muestra'!$B$8:$B$42)-MIN(ROW('03.Muestra'!$D$8:$D$42))+1,""),ROW()-1044)),"")</f>
        <v>19</v>
      </c>
      <c r="B1063" s="85" t="str" cm="1">
        <f t="array" ref="B1063">IFERROR(INDEX('03.Muestra'!$C$8:$C$42,SMALL(IF("Página Web"='03.Muestra'!$D$8:$D$42,ROW('03.Muestra'!$C$8:$C$42)-MIN(ROW('03.Muestra'!$D$8:$D$42))+1,""),ROW()-1044)),"")</f>
        <v>Mapa Web</v>
      </c>
      <c r="C1063" s="85" t="str" cm="1">
        <f t="array" ref="C1063">IFERROR(INDEX('03.Muestra'!$F$8:$F$42,SMALL(IF("Página Web"='03.Muestra'!$D$8:$D$42,ROW('03.Muestra'!$F$8:$F$42)-MIN(ROW('03.Muestra'!$D$8:$D$42))+1,""),ROW()-1044)),"")</f>
        <v>https://elecciones.comunidad.madrid/es/sitemap</v>
      </c>
      <c r="D1063" s="99" t="s">
        <v>176</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cm="1">
        <f t="array" ref="A1064">IFERROR(INDEX('03.Muestra'!$B$8:$B$42,SMALL(IF("Página Web"='03.Muestra'!$D$8:$D$42,ROW('03.Muestra'!$B$8:$B$42)-MIN(ROW('03.Muestra'!$D$8:$D$42))+1,""),ROW()-1044)),"")</f>
        <v>20</v>
      </c>
      <c r="B1064" s="85" t="str" cm="1">
        <f t="array" ref="B1064">IFERROR(INDEX('03.Muestra'!$C$8:$C$42,SMALL(IF("Página Web"='03.Muestra'!$D$8:$D$42,ROW('03.Muestra'!$C$8:$C$42)-MIN(ROW('03.Muestra'!$D$8:$D$42))+1,""),ROW()-1044)),"")</f>
        <v>Declaracion Accesibilidad</v>
      </c>
      <c r="C1064" s="85" t="str" cm="1">
        <f t="array" ref="C1064">IFERROR(INDEX('03.Muestra'!$F$8:$F$42,SMALL(IF("Página Web"='03.Muestra'!$D$8:$D$42,ROW('03.Muestra'!$F$8:$F$42)-MIN(ROW('03.Muestra'!$D$8:$D$42))+1,""),ROW()-1044)),"")</f>
        <v>https://elecciones.comunidad.madrid/es/accesibilidad</v>
      </c>
      <c r="D1064" s="99" t="s">
        <v>176</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ref="D1065:D1079" si="55">IF(AND(B1065&lt;&gt;"",C1065&lt;&gt;""),"N/T","")</f>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181</v>
      </c>
      <c r="B1082" s="23" t="s">
        <v>173</v>
      </c>
      <c r="C1082" s="24" t="s">
        <v>252</v>
      </c>
      <c r="D1082" s="25" t="s">
        <v>183</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Inicio</v>
      </c>
      <c r="C1083" s="85" t="str" cm="1">
        <f t="array" ref="C1083">IFERROR(INDEX('03.Muestra'!$F$8:$F$42,SMALL(IF("Página Web"='03.Muestra'!$D$8:$D$42,ROW('03.Muestra'!$F$8:$F$42)-MIN(ROW('03.Muestra'!$D$8:$D$42))+1,""),ROW()-1082)),"")</f>
        <v>https://elecciones.comunidad.madrid/es</v>
      </c>
      <c r="D1083" s="99" t="s">
        <v>176</v>
      </c>
      <c r="E1083" s="79" t="str">
        <f t="shared" ref="E1083:E1117" si="56">IF(D1083&lt;&gt;"",IF(AND(B1083&lt;&gt;"",C1083&lt;&gt;""),"","ERR"),"")</f>
        <v/>
      </c>
      <c r="F1083" s="86" t="s">
        <v>185</v>
      </c>
      <c r="G1083" s="87" t="s">
        <v>186</v>
      </c>
      <c r="H1083" s="88" t="s">
        <v>184</v>
      </c>
      <c r="I1083" s="89" t="s">
        <v>176</v>
      </c>
      <c r="J1083" s="90" t="s">
        <v>174</v>
      </c>
      <c r="K1083" s="179" t="s">
        <v>180</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Resultado Elecciones 28M 2023</v>
      </c>
      <c r="C1084" s="85" t="str" cm="1">
        <f t="array" ref="C1084">IFERROR(INDEX('03.Muestra'!$F$8:$F$42,SMALL(IF("Página Web"='03.Muestra'!$D$8:$D$42,ROW('03.Muestra'!$F$8:$F$42)-MIN(ROW('03.Muestra'!$D$8:$D$42))+1,""),ROW()-1082)),"")</f>
        <v>https://elecciones.comunidad.madrid/es/resultados-elecciones-asamblea-madrid-28m-2023</v>
      </c>
      <c r="D1084" s="99" t="s">
        <v>176</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20</v>
      </c>
      <c r="J1084" s="91">
        <f ca="1">COUNTIF($D1083:INDIRECT("$D" &amp;  SUM(ROW()-1,'03.Muestra'!$D$45)-1),J1083)</f>
        <v>0</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Normativa electoral</v>
      </c>
      <c r="C1085" s="85" t="str" cm="1">
        <f t="array" ref="C1085">IFERROR(INDEX('03.Muestra'!$F$8:$F$42,SMALL(IF("Página Web"='03.Muestra'!$D$8:$D$42,ROW('03.Muestra'!$F$8:$F$42)-MIN(ROW('03.Muestra'!$D$8:$D$42))+1,""),ROW()-1082)),"")</f>
        <v>https://elecciones.comunidad.madrid/es/informacion-electoral/normativa-electoral</v>
      </c>
      <c r="D1085" s="99" t="s">
        <v>176</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Calendario electoral</v>
      </c>
      <c r="C1086" s="85" t="str" cm="1">
        <f t="array" ref="C1086">IFERROR(INDEX('03.Muestra'!$F$8:$F$42,SMALL(IF("Página Web"='03.Muestra'!$D$8:$D$42,ROW('03.Muestra'!$F$8:$F$42)-MIN(ROW('03.Muestra'!$D$8:$D$42))+1,""),ROW()-1082)),"")</f>
        <v>https://elecciones.comunidad.madrid/es/informacion-electoral/calendario-electoral</v>
      </c>
      <c r="D1086" s="99" t="s">
        <v>176</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Direcciones y teléfonos</v>
      </c>
      <c r="C1087" s="85" t="str" cm="1">
        <f t="array" ref="C1087">IFERROR(INDEX('03.Muestra'!$F$8:$F$42,SMALL(IF("Página Web"='03.Muestra'!$D$8:$D$42,ROW('03.Muestra'!$F$8:$F$42)-MIN(ROW('03.Muestra'!$D$8:$D$42))+1,""),ROW()-1082)),"")</f>
        <v>https://elecciones.comunidad.madrid/es/juntas-electorales/direcciones-telefonos</v>
      </c>
      <c r="D1087" s="99" t="s">
        <v>176</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Impresos electrónicos</v>
      </c>
      <c r="C1088" s="85" t="str" cm="1">
        <f t="array" ref="C1088">IFERROR(INDEX('03.Muestra'!$F$8:$F$42,SMALL(IF("Página Web"='03.Muestra'!$D$8:$D$42,ROW('03.Muestra'!$F$8:$F$42)-MIN(ROW('03.Muestra'!$D$8:$D$42))+1,""),ROW()-1082)),"")</f>
        <v>https://elecciones.comunidad.madrid/es/formaciones-politicas/impresos-electronicos</v>
      </c>
      <c r="D1088" s="99" t="s">
        <v>176</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Listado de candidaturas</v>
      </c>
      <c r="C1089" s="85" t="str" cm="1">
        <f t="array" ref="C1089">IFERROR(INDEX('03.Muestra'!$F$8:$F$42,SMALL(IF("Página Web"='03.Muestra'!$D$8:$D$42,ROW('03.Muestra'!$F$8:$F$42)-MIN(ROW('03.Muestra'!$D$8:$D$42))+1,""),ROW()-1082)),"")</f>
        <v>https://elecciones.comunidad.madrid/es/formaciones-politicas/listado-candidaturas-proclamadas</v>
      </c>
      <c r="D1089" s="99" t="s">
        <v>176</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Partido Feminista de España</v>
      </c>
      <c r="C1090" s="85" t="str" cm="1">
        <f t="array" ref="C1090">IFERROR(INDEX('03.Muestra'!$F$8:$F$42,SMALL(IF("Página Web"='03.Muestra'!$D$8:$D$42,ROW('03.Muestra'!$F$8:$F$42)-MIN(ROW('03.Muestra'!$D$8:$D$42))+1,""),ROW()-1082)),"")</f>
        <v>https://elecciones.comunidad.madrid/es/formaciones-politicas/listado-candidaturas/partido-feminista-espana</v>
      </c>
      <c r="D1090" s="99" t="s">
        <v>176</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cm="1">
        <f t="array" ref="A1091">IFERROR(INDEX('03.Muestra'!$B$8:$B$42,SMALL(IF("Página Web"='03.Muestra'!$D$8:$D$42,ROW('03.Muestra'!$B$8:$B$42)-MIN(ROW('03.Muestra'!$D$8:$D$42))+1,""),ROW()-1082)),"")</f>
        <v>9</v>
      </c>
      <c r="B1091" s="85" t="str" cm="1">
        <f t="array" ref="B1091">IFERROR(INDEX('03.Muestra'!$C$8:$C$42,SMALL(IF("Página Web"='03.Muestra'!$D$8:$D$42,ROW('03.Muestra'!$C$8:$C$42)-MIN(ROW('03.Muestra'!$D$8:$D$42))+1,""),ROW()-1082)),"")</f>
        <v>¿Dónde voto?</v>
      </c>
      <c r="C1091" s="85" t="str" cm="1">
        <f t="array" ref="C1091">IFERROR(INDEX('03.Muestra'!$F$8:$F$42,SMALL(IF("Página Web"='03.Muestra'!$D$8:$D$42,ROW('03.Muestra'!$F$8:$F$42)-MIN(ROW('03.Muestra'!$D$8:$D$42))+1,""),ROW()-1082)),"")</f>
        <v>https://elecciones.comunidad.madrid/es/votar/donde-voto</v>
      </c>
      <c r="D1091" s="99" t="s">
        <v>176</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cm="1">
        <f t="array" ref="A1092">IFERROR(INDEX('03.Muestra'!$B$8:$B$42,SMALL(IF("Página Web"='03.Muestra'!$D$8:$D$42,ROW('03.Muestra'!$B$8:$B$42)-MIN(ROW('03.Muestra'!$D$8:$D$42))+1,""),ROW()-1082)),"")</f>
        <v>10</v>
      </c>
      <c r="B1092" s="85" t="str" cm="1">
        <f t="array" ref="B1092">IFERROR(INDEX('03.Muestra'!$C$8:$C$42,SMALL(IF("Página Web"='03.Muestra'!$D$8:$D$42,ROW('03.Muestra'!$C$8:$C$42)-MIN(ROW('03.Muestra'!$D$8:$D$42))+1,""),ROW()-1082)),"")</f>
        <v>Voto presencial</v>
      </c>
      <c r="C1092" s="85" t="str" cm="1">
        <f t="array" ref="C1092">IFERROR(INDEX('03.Muestra'!$F$8:$F$42,SMALL(IF("Página Web"='03.Muestra'!$D$8:$D$42,ROW('03.Muestra'!$F$8:$F$42)-MIN(ROW('03.Muestra'!$D$8:$D$42))+1,""),ROW()-1082)),"")</f>
        <v>https://elecciones.comunidad.madrid/es/voto-local-electoral/voto-presencial</v>
      </c>
      <c r="D1092" s="99" t="s">
        <v>176</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cm="1">
        <f t="array" ref="A1093">IFERROR(INDEX('03.Muestra'!$B$8:$B$42,SMALL(IF("Página Web"='03.Muestra'!$D$8:$D$42,ROW('03.Muestra'!$B$8:$B$42)-MIN(ROW('03.Muestra'!$D$8:$D$42))+1,""),ROW()-1082)),"")</f>
        <v>11</v>
      </c>
      <c r="B1093" s="85" t="str" cm="1">
        <f t="array" ref="B1093">IFERROR(INDEX('03.Muestra'!$C$8:$C$42,SMALL(IF("Página Web"='03.Muestra'!$D$8:$D$42,ROW('03.Muestra'!$C$8:$C$42)-MIN(ROW('03.Muestra'!$D$8:$D$42))+1,""),ROW()-1082)),"")</f>
        <v>Ciudadanos temporalmente en el extranjero</v>
      </c>
      <c r="C1093" s="85" t="str" cm="1">
        <f t="array" ref="C1093">IFERROR(INDEX('03.Muestra'!$F$8:$F$42,SMALL(IF("Página Web"='03.Muestra'!$D$8:$D$42,ROW('03.Muestra'!$F$8:$F$42)-MIN(ROW('03.Muestra'!$D$8:$D$42))+1,""),ROW()-1082)),"")</f>
        <v>https://elecciones.comunidad.madrid/es/voto-correo/solicitud-voto-temporalmente-ausentes</v>
      </c>
      <c r="D1093" s="99" t="s">
        <v>176</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cm="1">
        <f t="array" ref="A1094">IFERROR(INDEX('03.Muestra'!$B$8:$B$42,SMALL(IF("Página Web"='03.Muestra'!$D$8:$D$42,ROW('03.Muestra'!$B$8:$B$42)-MIN(ROW('03.Muestra'!$D$8:$D$42))+1,""),ROW()-1082)),"")</f>
        <v>12</v>
      </c>
      <c r="B1094" s="85" t="str" cm="1">
        <f t="array" ref="B1094">IFERROR(INDEX('03.Muestra'!$C$8:$C$42,SMALL(IF("Página Web"='03.Muestra'!$D$8:$D$42,ROW('03.Muestra'!$C$8:$C$42)-MIN(ROW('03.Muestra'!$D$8:$D$42))+1,""),ROW()-1082)),"")</f>
        <v>Nuevo votante</v>
      </c>
      <c r="C1094" s="85" t="str" cm="1">
        <f t="array" ref="C1094">IFERROR(INDEX('03.Muestra'!$F$8:$F$42,SMALL(IF("Página Web"='03.Muestra'!$D$8:$D$42,ROW('03.Muestra'!$F$8:$F$42)-MIN(ROW('03.Muestra'!$D$8:$D$42))+1,""),ROW()-1082)),"")</f>
        <v>https://elecciones.comunidad.madrid/es/votar/nuevo-votante</v>
      </c>
      <c r="D1094" s="99" t="s">
        <v>176</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cm="1">
        <f t="array" ref="A1095">IFERROR(INDEX('03.Muestra'!$B$8:$B$42,SMALL(IF("Página Web"='03.Muestra'!$D$8:$D$42,ROW('03.Muestra'!$B$8:$B$42)-MIN(ROW('03.Muestra'!$D$8:$D$42))+1,""),ROW()-1082)),"")</f>
        <v>13</v>
      </c>
      <c r="B1095" s="85" t="str" cm="1">
        <f t="array" ref="B1095">IFERROR(INDEX('03.Muestra'!$C$8:$C$42,SMALL(IF("Página Web"='03.Muestra'!$D$8:$D$42,ROW('03.Muestra'!$C$8:$C$42)-MIN(ROW('03.Muestra'!$D$8:$D$42))+1,""),ROW()-1082)),"")</f>
        <v>Simulación método D'Hondt</v>
      </c>
      <c r="C1095" s="85" t="str" cm="1">
        <f t="array" ref="C1095">IFERROR(INDEX('03.Muestra'!$F$8:$F$42,SMALL(IF("Página Web"='03.Muestra'!$D$8:$D$42,ROW('03.Muestra'!$F$8:$F$42)-MIN(ROW('03.Muestra'!$D$8:$D$42))+1,""),ROW()-1082)),"")</f>
        <v>https://elecciones.comunidad.madrid/es/informacion-util/simulacion-metodo-dhondt</v>
      </c>
      <c r="D1095" s="99" t="s">
        <v>176</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cm="1">
        <f t="array" ref="A1096">IFERROR(INDEX('03.Muestra'!$B$8:$B$42,SMALL(IF("Página Web"='03.Muestra'!$D$8:$D$42,ROW('03.Muestra'!$B$8:$B$42)-MIN(ROW('03.Muestra'!$D$8:$D$42))+1,""),ROW()-1082)),"")</f>
        <v>14</v>
      </c>
      <c r="B1096" s="85" t="str" cm="1">
        <f t="array" ref="B1096">IFERROR(INDEX('03.Muestra'!$C$8:$C$42,SMALL(IF("Página Web"='03.Muestra'!$D$8:$D$42,ROW('03.Muestra'!$C$8:$C$42)-MIN(ROW('03.Muestra'!$D$8:$D$42))+1,""),ROW()-1082)),"")</f>
        <v>Ley D'Hondt</v>
      </c>
      <c r="C1096" s="85" t="str" cm="1">
        <f t="array" ref="C1096">IFERROR(INDEX('03.Muestra'!$F$8:$F$42,SMALL(IF("Página Web"='03.Muestra'!$D$8:$D$42,ROW('03.Muestra'!$F$8:$F$42)-MIN(ROW('03.Muestra'!$D$8:$D$42))+1,""),ROW()-1082)),"")</f>
        <v>https://elecciones.comunidad.madrid/es/resultados/ley_d_hondt</v>
      </c>
      <c r="D1096" s="99" t="s">
        <v>176</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cm="1">
        <f t="array" ref="A1097">IFERROR(INDEX('03.Muestra'!$B$8:$B$42,SMALL(IF("Página Web"='03.Muestra'!$D$8:$D$42,ROW('03.Muestra'!$B$8:$B$42)-MIN(ROW('03.Muestra'!$D$8:$D$42))+1,""),ROW()-1082)),"")</f>
        <v>15</v>
      </c>
      <c r="B1097" s="85" t="str" cm="1">
        <f t="array" ref="B1097">IFERROR(INDEX('03.Muestra'!$C$8:$C$42,SMALL(IF("Página Web"='03.Muestra'!$D$8:$D$42,ROW('03.Muestra'!$C$8:$C$42)-MIN(ROW('03.Muestra'!$D$8:$D$42))+1,""),ROW()-1082)),"")</f>
        <v>Voto por correo elector CERA en España</v>
      </c>
      <c r="C1097" s="85" t="str" cm="1">
        <f t="array" ref="C1097">IFERROR(INDEX('03.Muestra'!$F$8:$F$42,SMALL(IF("Página Web"='03.Muestra'!$D$8:$D$42,ROW('03.Muestra'!$F$8:$F$42)-MIN(ROW('03.Muestra'!$D$8:$D$42))+1,""),ROW()-1082)),"")</f>
        <v>https://elecciones.comunidad.madrid/es/preguntas-frecuentes/voto-correo-electores-residentes-extranjero</v>
      </c>
      <c r="D1097" s="99" t="s">
        <v>176</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cm="1">
        <f t="array" ref="A1098">IFERROR(INDEX('03.Muestra'!$B$8:$B$42,SMALL(IF("Página Web"='03.Muestra'!$D$8:$D$42,ROW('03.Muestra'!$B$8:$B$42)-MIN(ROW('03.Muestra'!$D$8:$D$42))+1,""),ROW()-1082)),"")</f>
        <v>16</v>
      </c>
      <c r="B1098" s="85" t="str" cm="1">
        <f t="array" ref="B1098">IFERROR(INDEX('03.Muestra'!$C$8:$C$42,SMALL(IF("Página Web"='03.Muestra'!$D$8:$D$42,ROW('03.Muestra'!$C$8:$C$42)-MIN(ROW('03.Muestra'!$D$8:$D$42))+1,""),ROW()-1082)),"")</f>
        <v>Contacto</v>
      </c>
      <c r="C1098" s="85" t="str" cm="1">
        <f t="array" ref="C1098">IFERROR(INDEX('03.Muestra'!$F$8:$F$42,SMALL(IF("Página Web"='03.Muestra'!$D$8:$D$42,ROW('03.Muestra'!$F$8:$F$42)-MIN(ROW('03.Muestra'!$D$8:$D$42))+1,""),ROW()-1082)),"")</f>
        <v>https://elecciones.comunidad.madrid/es/buzon-de-sugerencias</v>
      </c>
      <c r="D1098" s="99" t="s">
        <v>176</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cm="1">
        <f t="array" ref="A1099">IFERROR(INDEX('03.Muestra'!$B$8:$B$42,SMALL(IF("Página Web"='03.Muestra'!$D$8:$D$42,ROW('03.Muestra'!$B$8:$B$42)-MIN(ROW('03.Muestra'!$D$8:$D$42))+1,""),ROW()-1082)),"")</f>
        <v>17</v>
      </c>
      <c r="B1099" s="85" t="str" cm="1">
        <f t="array" ref="B1099">IFERROR(INDEX('03.Muestra'!$C$8:$C$42,SMALL(IF("Página Web"='03.Muestra'!$D$8:$D$42,ROW('03.Muestra'!$C$8:$C$42)-MIN(ROW('03.Muestra'!$D$8:$D$42))+1,""),ROW()-1082)),"")</f>
        <v>Buscador</v>
      </c>
      <c r="C1099" s="85" t="str" cm="1">
        <f t="array" ref="C1099">IFERROR(INDEX('03.Muestra'!$F$8:$F$42,SMALL(IF("Página Web"='03.Muestra'!$D$8:$D$42,ROW('03.Muestra'!$F$8:$F$42)-MIN(ROW('03.Muestra'!$D$8:$D$42))+1,""),ROW()-1082)),"")</f>
        <v>https://elecciones.comunidad.madrid/es/search?search_api_fulltext=partido</v>
      </c>
      <c r="D1099" s="99" t="s">
        <v>176</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cm="1">
        <f t="array" ref="A1100">IFERROR(INDEX('03.Muestra'!$B$8:$B$42,SMALL(IF("Página Web"='03.Muestra'!$D$8:$D$42,ROW('03.Muestra'!$B$8:$B$42)-MIN(ROW('03.Muestra'!$D$8:$D$42))+1,""),ROW()-1082)),"")</f>
        <v>18</v>
      </c>
      <c r="B1100" s="85" t="str" cm="1">
        <f t="array" ref="B1100">IFERROR(INDEX('03.Muestra'!$C$8:$C$42,SMALL(IF("Página Web"='03.Muestra'!$D$8:$D$42,ROW('03.Muestra'!$C$8:$C$42)-MIN(ROW('03.Muestra'!$D$8:$D$42))+1,""),ROW()-1082)),"")</f>
        <v>Aviso Legal-Privacidad</v>
      </c>
      <c r="C1100" s="85" t="str" cm="1">
        <f t="array" ref="C1100">IFERROR(INDEX('03.Muestra'!$F$8:$F$42,SMALL(IF("Página Web"='03.Muestra'!$D$8:$D$42,ROW('03.Muestra'!$F$8:$F$42)-MIN(ROW('03.Muestra'!$D$8:$D$42))+1,""),ROW()-1082)),"")</f>
        <v>https://elecciones.comunidad.madrid/es/aviso-legal</v>
      </c>
      <c r="D1100" s="99" t="s">
        <v>176</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cm="1">
        <f t="array" ref="A1101">IFERROR(INDEX('03.Muestra'!$B$8:$B$42,SMALL(IF("Página Web"='03.Muestra'!$D$8:$D$42,ROW('03.Muestra'!$B$8:$B$42)-MIN(ROW('03.Muestra'!$D$8:$D$42))+1,""),ROW()-1082)),"")</f>
        <v>19</v>
      </c>
      <c r="B1101" s="85" t="str" cm="1">
        <f t="array" ref="B1101">IFERROR(INDEX('03.Muestra'!$C$8:$C$42,SMALL(IF("Página Web"='03.Muestra'!$D$8:$D$42,ROW('03.Muestra'!$C$8:$C$42)-MIN(ROW('03.Muestra'!$D$8:$D$42))+1,""),ROW()-1082)),"")</f>
        <v>Mapa Web</v>
      </c>
      <c r="C1101" s="85" t="str" cm="1">
        <f t="array" ref="C1101">IFERROR(INDEX('03.Muestra'!$F$8:$F$42,SMALL(IF("Página Web"='03.Muestra'!$D$8:$D$42,ROW('03.Muestra'!$F$8:$F$42)-MIN(ROW('03.Muestra'!$D$8:$D$42))+1,""),ROW()-1082)),"")</f>
        <v>https://elecciones.comunidad.madrid/es/sitemap</v>
      </c>
      <c r="D1101" s="99" t="s">
        <v>176</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cm="1">
        <f t="array" ref="A1102">IFERROR(INDEX('03.Muestra'!$B$8:$B$42,SMALL(IF("Página Web"='03.Muestra'!$D$8:$D$42,ROW('03.Muestra'!$B$8:$B$42)-MIN(ROW('03.Muestra'!$D$8:$D$42))+1,""),ROW()-1082)),"")</f>
        <v>20</v>
      </c>
      <c r="B1102" s="85" t="str" cm="1">
        <f t="array" ref="B1102">IFERROR(INDEX('03.Muestra'!$C$8:$C$42,SMALL(IF("Página Web"='03.Muestra'!$D$8:$D$42,ROW('03.Muestra'!$C$8:$C$42)-MIN(ROW('03.Muestra'!$D$8:$D$42))+1,""),ROW()-1082)),"")</f>
        <v>Declaracion Accesibilidad</v>
      </c>
      <c r="C1102" s="85" t="str" cm="1">
        <f t="array" ref="C1102">IFERROR(INDEX('03.Muestra'!$F$8:$F$42,SMALL(IF("Página Web"='03.Muestra'!$D$8:$D$42,ROW('03.Muestra'!$F$8:$F$42)-MIN(ROW('03.Muestra'!$D$8:$D$42))+1,""),ROW()-1082)),"")</f>
        <v>https://elecciones.comunidad.madrid/es/accesibilidad</v>
      </c>
      <c r="D1102" s="99" t="s">
        <v>176</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ref="D1103:D1117" si="57">IF(AND(B1103&lt;&gt;"",C1103&lt;&gt;""),"N/T","")</f>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181</v>
      </c>
      <c r="B1120" s="23" t="s">
        <v>173</v>
      </c>
      <c r="C1120" s="24" t="s">
        <v>253</v>
      </c>
      <c r="D1120" s="25" t="s">
        <v>183</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Inicio</v>
      </c>
      <c r="C1121" s="85" t="str" cm="1">
        <f t="array" ref="C1121">IFERROR(INDEX('03.Muestra'!$F$8:$F$42,SMALL(IF("Página Web"='03.Muestra'!$D$8:$D$42,ROW('03.Muestra'!$F$8:$F$42)-MIN(ROW('03.Muestra'!$D$8:$D$42))+1,""),ROW()-1120)),"")</f>
        <v>https://elecciones.comunidad.madrid/es</v>
      </c>
      <c r="D1121" s="99" t="s">
        <v>174</v>
      </c>
      <c r="E1121" s="79" t="str">
        <f t="shared" ref="E1121:E1155" si="58">IF(D1121&lt;&gt;"",IF(AND(B1121&lt;&gt;"",C1121&lt;&gt;""),"","ERR"),"")</f>
        <v/>
      </c>
      <c r="F1121" s="86" t="s">
        <v>185</v>
      </c>
      <c r="G1121" s="87" t="s">
        <v>186</v>
      </c>
      <c r="H1121" s="88" t="s">
        <v>184</v>
      </c>
      <c r="I1121" s="89" t="s">
        <v>176</v>
      </c>
      <c r="J1121" s="90" t="s">
        <v>174</v>
      </c>
      <c r="K1121" s="179" t="s">
        <v>180</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Resultado Elecciones 28M 2023</v>
      </c>
      <c r="C1122" s="85" t="str" cm="1">
        <f t="array" ref="C1122">IFERROR(INDEX('03.Muestra'!$F$8:$F$42,SMALL(IF("Página Web"='03.Muestra'!$D$8:$D$42,ROW('03.Muestra'!$F$8:$F$42)-MIN(ROW('03.Muestra'!$D$8:$D$42))+1,""),ROW()-1120)),"")</f>
        <v>https://elecciones.comunidad.madrid/es/resultados-elecciones-asamblea-madrid-28m-2023</v>
      </c>
      <c r="D1122" s="99" t="s">
        <v>174</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2</v>
      </c>
      <c r="J1122" s="91">
        <f ca="1">COUNTIF($D1121:INDIRECT("$D" &amp;  SUM(ROW()-1,'03.Muestra'!$D$45)-1),J1121)</f>
        <v>18</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Normativa electoral</v>
      </c>
      <c r="C1123" s="85" t="str" cm="1">
        <f t="array" ref="C1123">IFERROR(INDEX('03.Muestra'!$F$8:$F$42,SMALL(IF("Página Web"='03.Muestra'!$D$8:$D$42,ROW('03.Muestra'!$F$8:$F$42)-MIN(ROW('03.Muestra'!$D$8:$D$42))+1,""),ROW()-1120)),"")</f>
        <v>https://elecciones.comunidad.madrid/es/informacion-electoral/normativa-electoral</v>
      </c>
      <c r="D1123" s="99" t="s">
        <v>174</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Calendario electoral</v>
      </c>
      <c r="C1124" s="85" t="str" cm="1">
        <f t="array" ref="C1124">IFERROR(INDEX('03.Muestra'!$F$8:$F$42,SMALL(IF("Página Web"='03.Muestra'!$D$8:$D$42,ROW('03.Muestra'!$F$8:$F$42)-MIN(ROW('03.Muestra'!$D$8:$D$42))+1,""),ROW()-1120)),"")</f>
        <v>https://elecciones.comunidad.madrid/es/informacion-electoral/calendario-electoral</v>
      </c>
      <c r="D1124" s="99" t="s">
        <v>174</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Direcciones y teléfonos</v>
      </c>
      <c r="C1125" s="85" t="str" cm="1">
        <f t="array" ref="C1125">IFERROR(INDEX('03.Muestra'!$F$8:$F$42,SMALL(IF("Página Web"='03.Muestra'!$D$8:$D$42,ROW('03.Muestra'!$F$8:$F$42)-MIN(ROW('03.Muestra'!$D$8:$D$42))+1,""),ROW()-1120)),"")</f>
        <v>https://elecciones.comunidad.madrid/es/juntas-electorales/direcciones-telefonos</v>
      </c>
      <c r="D1125" s="99" t="s">
        <v>174</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Impresos electrónicos</v>
      </c>
      <c r="C1126" s="85" t="str" cm="1">
        <f t="array" ref="C1126">IFERROR(INDEX('03.Muestra'!$F$8:$F$42,SMALL(IF("Página Web"='03.Muestra'!$D$8:$D$42,ROW('03.Muestra'!$F$8:$F$42)-MIN(ROW('03.Muestra'!$D$8:$D$42))+1,""),ROW()-1120)),"")</f>
        <v>https://elecciones.comunidad.madrid/es/formaciones-politicas/impresos-electronicos</v>
      </c>
      <c r="D1126" s="99" t="s">
        <v>174</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Listado de candidaturas</v>
      </c>
      <c r="C1127" s="85" t="str" cm="1">
        <f t="array" ref="C1127">IFERROR(INDEX('03.Muestra'!$F$8:$F$42,SMALL(IF("Página Web"='03.Muestra'!$D$8:$D$42,ROW('03.Muestra'!$F$8:$F$42)-MIN(ROW('03.Muestra'!$D$8:$D$42))+1,""),ROW()-1120)),"")</f>
        <v>https://elecciones.comunidad.madrid/es/formaciones-politicas/listado-candidaturas-proclamadas</v>
      </c>
      <c r="D1127" s="99" t="s">
        <v>174</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Partido Feminista de España</v>
      </c>
      <c r="C1128" s="85" t="str" cm="1">
        <f t="array" ref="C1128">IFERROR(INDEX('03.Muestra'!$F$8:$F$42,SMALL(IF("Página Web"='03.Muestra'!$D$8:$D$42,ROW('03.Muestra'!$F$8:$F$42)-MIN(ROW('03.Muestra'!$D$8:$D$42))+1,""),ROW()-1120)),"")</f>
        <v>https://elecciones.comunidad.madrid/es/formaciones-politicas/listado-candidaturas/partido-feminista-espana</v>
      </c>
      <c r="D1128" s="211" t="s">
        <v>176</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cm="1">
        <f t="array" ref="A1129">IFERROR(INDEX('03.Muestra'!$B$8:$B$42,SMALL(IF("Página Web"='03.Muestra'!$D$8:$D$42,ROW('03.Muestra'!$B$8:$B$42)-MIN(ROW('03.Muestra'!$D$8:$D$42))+1,""),ROW()-1120)),"")</f>
        <v>9</v>
      </c>
      <c r="B1129" s="85" t="str" cm="1">
        <f t="array" ref="B1129">IFERROR(INDEX('03.Muestra'!$C$8:$C$42,SMALL(IF("Página Web"='03.Muestra'!$D$8:$D$42,ROW('03.Muestra'!$C$8:$C$42)-MIN(ROW('03.Muestra'!$D$8:$D$42))+1,""),ROW()-1120)),"")</f>
        <v>¿Dónde voto?</v>
      </c>
      <c r="C1129" s="85" t="str" cm="1">
        <f t="array" ref="C1129">IFERROR(INDEX('03.Muestra'!$F$8:$F$42,SMALL(IF("Página Web"='03.Muestra'!$D$8:$D$42,ROW('03.Muestra'!$F$8:$F$42)-MIN(ROW('03.Muestra'!$D$8:$D$42))+1,""),ROW()-1120)),"")</f>
        <v>https://elecciones.comunidad.madrid/es/votar/donde-voto</v>
      </c>
      <c r="D1129" s="99" t="s">
        <v>174</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cm="1">
        <f t="array" ref="A1130">IFERROR(INDEX('03.Muestra'!$B$8:$B$42,SMALL(IF("Página Web"='03.Muestra'!$D$8:$D$42,ROW('03.Muestra'!$B$8:$B$42)-MIN(ROW('03.Muestra'!$D$8:$D$42))+1,""),ROW()-1120)),"")</f>
        <v>10</v>
      </c>
      <c r="B1130" s="85" t="str" cm="1">
        <f t="array" ref="B1130">IFERROR(INDEX('03.Muestra'!$C$8:$C$42,SMALL(IF("Página Web"='03.Muestra'!$D$8:$D$42,ROW('03.Muestra'!$C$8:$C$42)-MIN(ROW('03.Muestra'!$D$8:$D$42))+1,""),ROW()-1120)),"")</f>
        <v>Voto presencial</v>
      </c>
      <c r="C1130" s="85" t="str" cm="1">
        <f t="array" ref="C1130">IFERROR(INDEX('03.Muestra'!$F$8:$F$42,SMALL(IF("Página Web"='03.Muestra'!$D$8:$D$42,ROW('03.Muestra'!$F$8:$F$42)-MIN(ROW('03.Muestra'!$D$8:$D$42))+1,""),ROW()-1120)),"")</f>
        <v>https://elecciones.comunidad.madrid/es/voto-local-electoral/voto-presencial</v>
      </c>
      <c r="D1130" s="99" t="s">
        <v>174</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cm="1">
        <f t="array" ref="A1131">IFERROR(INDEX('03.Muestra'!$B$8:$B$42,SMALL(IF("Página Web"='03.Muestra'!$D$8:$D$42,ROW('03.Muestra'!$B$8:$B$42)-MIN(ROW('03.Muestra'!$D$8:$D$42))+1,""),ROW()-1120)),"")</f>
        <v>11</v>
      </c>
      <c r="B1131" s="85" t="str" cm="1">
        <f t="array" ref="B1131">IFERROR(INDEX('03.Muestra'!$C$8:$C$42,SMALL(IF("Página Web"='03.Muestra'!$D$8:$D$42,ROW('03.Muestra'!$C$8:$C$42)-MIN(ROW('03.Muestra'!$D$8:$D$42))+1,""),ROW()-1120)),"")</f>
        <v>Ciudadanos temporalmente en el extranjero</v>
      </c>
      <c r="C1131" s="85" t="str" cm="1">
        <f t="array" ref="C1131">IFERROR(INDEX('03.Muestra'!$F$8:$F$42,SMALL(IF("Página Web"='03.Muestra'!$D$8:$D$42,ROW('03.Muestra'!$F$8:$F$42)-MIN(ROW('03.Muestra'!$D$8:$D$42))+1,""),ROW()-1120)),"")</f>
        <v>https://elecciones.comunidad.madrid/es/voto-correo/solicitud-voto-temporalmente-ausentes</v>
      </c>
      <c r="D1131" s="99" t="s">
        <v>174</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cm="1">
        <f t="array" ref="A1132">IFERROR(INDEX('03.Muestra'!$B$8:$B$42,SMALL(IF("Página Web"='03.Muestra'!$D$8:$D$42,ROW('03.Muestra'!$B$8:$B$42)-MIN(ROW('03.Muestra'!$D$8:$D$42))+1,""),ROW()-1120)),"")</f>
        <v>12</v>
      </c>
      <c r="B1132" s="85" t="str" cm="1">
        <f t="array" ref="B1132">IFERROR(INDEX('03.Muestra'!$C$8:$C$42,SMALL(IF("Página Web"='03.Muestra'!$D$8:$D$42,ROW('03.Muestra'!$C$8:$C$42)-MIN(ROW('03.Muestra'!$D$8:$D$42))+1,""),ROW()-1120)),"")</f>
        <v>Nuevo votante</v>
      </c>
      <c r="C1132" s="85" t="str" cm="1">
        <f t="array" ref="C1132">IFERROR(INDEX('03.Muestra'!$F$8:$F$42,SMALL(IF("Página Web"='03.Muestra'!$D$8:$D$42,ROW('03.Muestra'!$F$8:$F$42)-MIN(ROW('03.Muestra'!$D$8:$D$42))+1,""),ROW()-1120)),"")</f>
        <v>https://elecciones.comunidad.madrid/es/votar/nuevo-votante</v>
      </c>
      <c r="D1132" s="99" t="s">
        <v>174</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cm="1">
        <f t="array" ref="A1133">IFERROR(INDEX('03.Muestra'!$B$8:$B$42,SMALL(IF("Página Web"='03.Muestra'!$D$8:$D$42,ROW('03.Muestra'!$B$8:$B$42)-MIN(ROW('03.Muestra'!$D$8:$D$42))+1,""),ROW()-1120)),"")</f>
        <v>13</v>
      </c>
      <c r="B1133" s="85" t="str" cm="1">
        <f t="array" ref="B1133">IFERROR(INDEX('03.Muestra'!$C$8:$C$42,SMALL(IF("Página Web"='03.Muestra'!$D$8:$D$42,ROW('03.Muestra'!$C$8:$C$42)-MIN(ROW('03.Muestra'!$D$8:$D$42))+1,""),ROW()-1120)),"")</f>
        <v>Simulación método D'Hondt</v>
      </c>
      <c r="C1133" s="85" t="str" cm="1">
        <f t="array" ref="C1133">IFERROR(INDEX('03.Muestra'!$F$8:$F$42,SMALL(IF("Página Web"='03.Muestra'!$D$8:$D$42,ROW('03.Muestra'!$F$8:$F$42)-MIN(ROW('03.Muestra'!$D$8:$D$42))+1,""),ROW()-1120)),"")</f>
        <v>https://elecciones.comunidad.madrid/es/informacion-util/simulacion-metodo-dhondt</v>
      </c>
      <c r="D1133" s="99" t="s">
        <v>174</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cm="1">
        <f t="array" ref="A1134">IFERROR(INDEX('03.Muestra'!$B$8:$B$42,SMALL(IF("Página Web"='03.Muestra'!$D$8:$D$42,ROW('03.Muestra'!$B$8:$B$42)-MIN(ROW('03.Muestra'!$D$8:$D$42))+1,""),ROW()-1120)),"")</f>
        <v>14</v>
      </c>
      <c r="B1134" s="85" t="str" cm="1">
        <f t="array" ref="B1134">IFERROR(INDEX('03.Muestra'!$C$8:$C$42,SMALL(IF("Página Web"='03.Muestra'!$D$8:$D$42,ROW('03.Muestra'!$C$8:$C$42)-MIN(ROW('03.Muestra'!$D$8:$D$42))+1,""),ROW()-1120)),"")</f>
        <v>Ley D'Hondt</v>
      </c>
      <c r="C1134" s="85" t="str" cm="1">
        <f t="array" ref="C1134">IFERROR(INDEX('03.Muestra'!$F$8:$F$42,SMALL(IF("Página Web"='03.Muestra'!$D$8:$D$42,ROW('03.Muestra'!$F$8:$F$42)-MIN(ROW('03.Muestra'!$D$8:$D$42))+1,""),ROW()-1120)),"")</f>
        <v>https://elecciones.comunidad.madrid/es/resultados/ley_d_hondt</v>
      </c>
      <c r="D1134" s="99" t="s">
        <v>176</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cm="1">
        <f t="array" ref="A1135">IFERROR(INDEX('03.Muestra'!$B$8:$B$42,SMALL(IF("Página Web"='03.Muestra'!$D$8:$D$42,ROW('03.Muestra'!$B$8:$B$42)-MIN(ROW('03.Muestra'!$D$8:$D$42))+1,""),ROW()-1120)),"")</f>
        <v>15</v>
      </c>
      <c r="B1135" s="85" t="str" cm="1">
        <f t="array" ref="B1135">IFERROR(INDEX('03.Muestra'!$C$8:$C$42,SMALL(IF("Página Web"='03.Muestra'!$D$8:$D$42,ROW('03.Muestra'!$C$8:$C$42)-MIN(ROW('03.Muestra'!$D$8:$D$42))+1,""),ROW()-1120)),"")</f>
        <v>Voto por correo elector CERA en España</v>
      </c>
      <c r="C1135" s="85" t="str" cm="1">
        <f t="array" ref="C1135">IFERROR(INDEX('03.Muestra'!$F$8:$F$42,SMALL(IF("Página Web"='03.Muestra'!$D$8:$D$42,ROW('03.Muestra'!$F$8:$F$42)-MIN(ROW('03.Muestra'!$D$8:$D$42))+1,""),ROW()-1120)),"")</f>
        <v>https://elecciones.comunidad.madrid/es/preguntas-frecuentes/voto-correo-electores-residentes-extranjero</v>
      </c>
      <c r="D1135" s="99" t="s">
        <v>174</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cm="1">
        <f t="array" ref="A1136">IFERROR(INDEX('03.Muestra'!$B$8:$B$42,SMALL(IF("Página Web"='03.Muestra'!$D$8:$D$42,ROW('03.Muestra'!$B$8:$B$42)-MIN(ROW('03.Muestra'!$D$8:$D$42))+1,""),ROW()-1120)),"")</f>
        <v>16</v>
      </c>
      <c r="B1136" s="85" t="str" cm="1">
        <f t="array" ref="B1136">IFERROR(INDEX('03.Muestra'!$C$8:$C$42,SMALL(IF("Página Web"='03.Muestra'!$D$8:$D$42,ROW('03.Muestra'!$C$8:$C$42)-MIN(ROW('03.Muestra'!$D$8:$D$42))+1,""),ROW()-1120)),"")</f>
        <v>Contacto</v>
      </c>
      <c r="C1136" s="85" t="str" cm="1">
        <f t="array" ref="C1136">IFERROR(INDEX('03.Muestra'!$F$8:$F$42,SMALL(IF("Página Web"='03.Muestra'!$D$8:$D$42,ROW('03.Muestra'!$F$8:$F$42)-MIN(ROW('03.Muestra'!$D$8:$D$42))+1,""),ROW()-1120)),"")</f>
        <v>https://elecciones.comunidad.madrid/es/buzon-de-sugerencias</v>
      </c>
      <c r="D1136" s="99" t="s">
        <v>174</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cm="1">
        <f t="array" ref="A1137">IFERROR(INDEX('03.Muestra'!$B$8:$B$42,SMALL(IF("Página Web"='03.Muestra'!$D$8:$D$42,ROW('03.Muestra'!$B$8:$B$42)-MIN(ROW('03.Muestra'!$D$8:$D$42))+1,""),ROW()-1120)),"")</f>
        <v>17</v>
      </c>
      <c r="B1137" s="85" t="str" cm="1">
        <f t="array" ref="B1137">IFERROR(INDEX('03.Muestra'!$C$8:$C$42,SMALL(IF("Página Web"='03.Muestra'!$D$8:$D$42,ROW('03.Muestra'!$C$8:$C$42)-MIN(ROW('03.Muestra'!$D$8:$D$42))+1,""),ROW()-1120)),"")</f>
        <v>Buscador</v>
      </c>
      <c r="C1137" s="85" t="str" cm="1">
        <f t="array" ref="C1137">IFERROR(INDEX('03.Muestra'!$F$8:$F$42,SMALL(IF("Página Web"='03.Muestra'!$D$8:$D$42,ROW('03.Muestra'!$F$8:$F$42)-MIN(ROW('03.Muestra'!$D$8:$D$42))+1,""),ROW()-1120)),"")</f>
        <v>https://elecciones.comunidad.madrid/es/search?search_api_fulltext=partido</v>
      </c>
      <c r="D1137" s="99" t="s">
        <v>174</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cm="1">
        <f t="array" ref="A1138">IFERROR(INDEX('03.Muestra'!$B$8:$B$42,SMALL(IF("Página Web"='03.Muestra'!$D$8:$D$42,ROW('03.Muestra'!$B$8:$B$42)-MIN(ROW('03.Muestra'!$D$8:$D$42))+1,""),ROW()-1120)),"")</f>
        <v>18</v>
      </c>
      <c r="B1138" s="85" t="str" cm="1">
        <f t="array" ref="B1138">IFERROR(INDEX('03.Muestra'!$C$8:$C$42,SMALL(IF("Página Web"='03.Muestra'!$D$8:$D$42,ROW('03.Muestra'!$C$8:$C$42)-MIN(ROW('03.Muestra'!$D$8:$D$42))+1,""),ROW()-1120)),"")</f>
        <v>Aviso Legal-Privacidad</v>
      </c>
      <c r="C1138" s="85" t="str" cm="1">
        <f t="array" ref="C1138">IFERROR(INDEX('03.Muestra'!$F$8:$F$42,SMALL(IF("Página Web"='03.Muestra'!$D$8:$D$42,ROW('03.Muestra'!$F$8:$F$42)-MIN(ROW('03.Muestra'!$D$8:$D$42))+1,""),ROW()-1120)),"")</f>
        <v>https://elecciones.comunidad.madrid/es/aviso-legal</v>
      </c>
      <c r="D1138" s="99" t="s">
        <v>174</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cm="1">
        <f t="array" ref="A1139">IFERROR(INDEX('03.Muestra'!$B$8:$B$42,SMALL(IF("Página Web"='03.Muestra'!$D$8:$D$42,ROW('03.Muestra'!$B$8:$B$42)-MIN(ROW('03.Muestra'!$D$8:$D$42))+1,""),ROW()-1120)),"")</f>
        <v>19</v>
      </c>
      <c r="B1139" s="85" t="str" cm="1">
        <f t="array" ref="B1139">IFERROR(INDEX('03.Muestra'!$C$8:$C$42,SMALL(IF("Página Web"='03.Muestra'!$D$8:$D$42,ROW('03.Muestra'!$C$8:$C$42)-MIN(ROW('03.Muestra'!$D$8:$D$42))+1,""),ROW()-1120)),"")</f>
        <v>Mapa Web</v>
      </c>
      <c r="C1139" s="85" t="str" cm="1">
        <f t="array" ref="C1139">IFERROR(INDEX('03.Muestra'!$F$8:$F$42,SMALL(IF("Página Web"='03.Muestra'!$D$8:$D$42,ROW('03.Muestra'!$F$8:$F$42)-MIN(ROW('03.Muestra'!$D$8:$D$42))+1,""),ROW()-1120)),"")</f>
        <v>https://elecciones.comunidad.madrid/es/sitemap</v>
      </c>
      <c r="D1139" s="99" t="s">
        <v>174</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cm="1">
        <f t="array" ref="A1140">IFERROR(INDEX('03.Muestra'!$B$8:$B$42,SMALL(IF("Página Web"='03.Muestra'!$D$8:$D$42,ROW('03.Muestra'!$B$8:$B$42)-MIN(ROW('03.Muestra'!$D$8:$D$42))+1,""),ROW()-1120)),"")</f>
        <v>20</v>
      </c>
      <c r="B1140" s="85" t="str" cm="1">
        <f t="array" ref="B1140">IFERROR(INDEX('03.Muestra'!$C$8:$C$42,SMALL(IF("Página Web"='03.Muestra'!$D$8:$D$42,ROW('03.Muestra'!$C$8:$C$42)-MIN(ROW('03.Muestra'!$D$8:$D$42))+1,""),ROW()-1120)),"")</f>
        <v>Declaracion Accesibilidad</v>
      </c>
      <c r="C1140" s="85" t="str" cm="1">
        <f t="array" ref="C1140">IFERROR(INDEX('03.Muestra'!$F$8:$F$42,SMALL(IF("Página Web"='03.Muestra'!$D$8:$D$42,ROW('03.Muestra'!$F$8:$F$42)-MIN(ROW('03.Muestra'!$D$8:$D$42))+1,""),ROW()-1120)),"")</f>
        <v>https://elecciones.comunidad.madrid/es/accesibilidad</v>
      </c>
      <c r="D1140" s="99" t="s">
        <v>174</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ref="D1141:D1155" si="59">IF(AND(B1141&lt;&gt;"",C1141&lt;&gt;""),"N/T","")</f>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181</v>
      </c>
      <c r="B1158" s="23" t="s">
        <v>173</v>
      </c>
      <c r="C1158" s="24" t="s">
        <v>254</v>
      </c>
      <c r="D1158" s="25" t="s">
        <v>183</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Inicio</v>
      </c>
      <c r="C1159" s="85" t="str" cm="1">
        <f t="array" ref="C1159">IFERROR(INDEX('03.Muestra'!$F$8:$F$42,SMALL(IF("Página Web"='03.Muestra'!$D$8:$D$42,ROW('03.Muestra'!$F$8:$F$42)-MIN(ROW('03.Muestra'!$D$8:$D$42))+1,""),ROW()-1158)),"")</f>
        <v>https://elecciones.comunidad.madrid/es</v>
      </c>
      <c r="D1159" s="99" t="s">
        <v>174</v>
      </c>
      <c r="E1159" s="79" t="str">
        <f t="shared" ref="E1159:E1193" si="60">IF(D1159&lt;&gt;"",IF(AND(B1159&lt;&gt;"",C1159&lt;&gt;""),"","ERR"),"")</f>
        <v/>
      </c>
      <c r="F1159" s="86" t="s">
        <v>185</v>
      </c>
      <c r="G1159" s="87" t="s">
        <v>186</v>
      </c>
      <c r="H1159" s="88" t="s">
        <v>184</v>
      </c>
      <c r="I1159" s="89" t="s">
        <v>176</v>
      </c>
      <c r="J1159" s="90" t="s">
        <v>174</v>
      </c>
      <c r="K1159" s="179" t="s">
        <v>180</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Resultado Elecciones 28M 2023</v>
      </c>
      <c r="C1160" s="85" t="str" cm="1">
        <f t="array" ref="C1160">IFERROR(INDEX('03.Muestra'!$F$8:$F$42,SMALL(IF("Página Web"='03.Muestra'!$D$8:$D$42,ROW('03.Muestra'!$F$8:$F$42)-MIN(ROW('03.Muestra'!$D$8:$D$42))+1,""),ROW()-1158)),"")</f>
        <v>https://elecciones.comunidad.madrid/es/resultados-elecciones-asamblea-madrid-28m-2023</v>
      </c>
      <c r="D1160" s="99" t="s">
        <v>174</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2</v>
      </c>
      <c r="J1160" s="91">
        <f ca="1">COUNTIF($D1159:INDIRECT("$D" &amp;  SUM(ROW()-1,'03.Muestra'!$D$45)-1),J1159)</f>
        <v>18</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Normativa electoral</v>
      </c>
      <c r="C1161" s="85" t="str" cm="1">
        <f t="array" ref="C1161">IFERROR(INDEX('03.Muestra'!$F$8:$F$42,SMALL(IF("Página Web"='03.Muestra'!$D$8:$D$42,ROW('03.Muestra'!$F$8:$F$42)-MIN(ROW('03.Muestra'!$D$8:$D$42))+1,""),ROW()-1158)),"")</f>
        <v>https://elecciones.comunidad.madrid/es/informacion-electoral/normativa-electoral</v>
      </c>
      <c r="D1161" s="99" t="s">
        <v>174</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Calendario electoral</v>
      </c>
      <c r="C1162" s="85" t="str" cm="1">
        <f t="array" ref="C1162">IFERROR(INDEX('03.Muestra'!$F$8:$F$42,SMALL(IF("Página Web"='03.Muestra'!$D$8:$D$42,ROW('03.Muestra'!$F$8:$F$42)-MIN(ROW('03.Muestra'!$D$8:$D$42))+1,""),ROW()-1158)),"")</f>
        <v>https://elecciones.comunidad.madrid/es/informacion-electoral/calendario-electoral</v>
      </c>
      <c r="D1162" s="99" t="s">
        <v>174</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Direcciones y teléfonos</v>
      </c>
      <c r="C1163" s="85" t="str" cm="1">
        <f t="array" ref="C1163">IFERROR(INDEX('03.Muestra'!$F$8:$F$42,SMALL(IF("Página Web"='03.Muestra'!$D$8:$D$42,ROW('03.Muestra'!$F$8:$F$42)-MIN(ROW('03.Muestra'!$D$8:$D$42))+1,""),ROW()-1158)),"")</f>
        <v>https://elecciones.comunidad.madrid/es/juntas-electorales/direcciones-telefonos</v>
      </c>
      <c r="D1163" s="99" t="s">
        <v>174</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Impresos electrónicos</v>
      </c>
      <c r="C1164" s="85" t="str" cm="1">
        <f t="array" ref="C1164">IFERROR(INDEX('03.Muestra'!$F$8:$F$42,SMALL(IF("Página Web"='03.Muestra'!$D$8:$D$42,ROW('03.Muestra'!$F$8:$F$42)-MIN(ROW('03.Muestra'!$D$8:$D$42))+1,""),ROW()-1158)),"")</f>
        <v>https://elecciones.comunidad.madrid/es/formaciones-politicas/impresos-electronicos</v>
      </c>
      <c r="D1164" s="99" t="s">
        <v>174</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Listado de candidaturas</v>
      </c>
      <c r="C1165" s="85" t="str" cm="1">
        <f t="array" ref="C1165">IFERROR(INDEX('03.Muestra'!$F$8:$F$42,SMALL(IF("Página Web"='03.Muestra'!$D$8:$D$42,ROW('03.Muestra'!$F$8:$F$42)-MIN(ROW('03.Muestra'!$D$8:$D$42))+1,""),ROW()-1158)),"")</f>
        <v>https://elecciones.comunidad.madrid/es/formaciones-politicas/listado-candidaturas-proclamadas</v>
      </c>
      <c r="D1165" s="99" t="s">
        <v>174</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Partido Feminista de España</v>
      </c>
      <c r="C1166" s="85" t="str" cm="1">
        <f t="array" ref="C1166">IFERROR(INDEX('03.Muestra'!$F$8:$F$42,SMALL(IF("Página Web"='03.Muestra'!$D$8:$D$42,ROW('03.Muestra'!$F$8:$F$42)-MIN(ROW('03.Muestra'!$D$8:$D$42))+1,""),ROW()-1158)),"")</f>
        <v>https://elecciones.comunidad.madrid/es/formaciones-politicas/listado-candidaturas/partido-feminista-espana</v>
      </c>
      <c r="D1166" s="99" t="s">
        <v>174</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cm="1">
        <f t="array" ref="A1167">IFERROR(INDEX('03.Muestra'!$B$8:$B$42,SMALL(IF("Página Web"='03.Muestra'!$D$8:$D$42,ROW('03.Muestra'!$B$8:$B$42)-MIN(ROW('03.Muestra'!$D$8:$D$42))+1,""),ROW()-1158)),"")</f>
        <v>9</v>
      </c>
      <c r="B1167" s="85" t="str" cm="1">
        <f t="array" ref="B1167">IFERROR(INDEX('03.Muestra'!$C$8:$C$42,SMALL(IF("Página Web"='03.Muestra'!$D$8:$D$42,ROW('03.Muestra'!$C$8:$C$42)-MIN(ROW('03.Muestra'!$D$8:$D$42))+1,""),ROW()-1158)),"")</f>
        <v>¿Dónde voto?</v>
      </c>
      <c r="C1167" s="85" t="str" cm="1">
        <f t="array" ref="C1167">IFERROR(INDEX('03.Muestra'!$F$8:$F$42,SMALL(IF("Página Web"='03.Muestra'!$D$8:$D$42,ROW('03.Muestra'!$F$8:$F$42)-MIN(ROW('03.Muestra'!$D$8:$D$42))+1,""),ROW()-1158)),"")</f>
        <v>https://elecciones.comunidad.madrid/es/votar/donde-voto</v>
      </c>
      <c r="D1167" s="99" t="s">
        <v>174</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cm="1">
        <f t="array" ref="A1168">IFERROR(INDEX('03.Muestra'!$B$8:$B$42,SMALL(IF("Página Web"='03.Muestra'!$D$8:$D$42,ROW('03.Muestra'!$B$8:$B$42)-MIN(ROW('03.Muestra'!$D$8:$D$42))+1,""),ROW()-1158)),"")</f>
        <v>10</v>
      </c>
      <c r="B1168" s="85" t="str" cm="1">
        <f t="array" ref="B1168">IFERROR(INDEX('03.Muestra'!$C$8:$C$42,SMALL(IF("Página Web"='03.Muestra'!$D$8:$D$42,ROW('03.Muestra'!$C$8:$C$42)-MIN(ROW('03.Muestra'!$D$8:$D$42))+1,""),ROW()-1158)),"")</f>
        <v>Voto presencial</v>
      </c>
      <c r="C1168" s="85" t="str" cm="1">
        <f t="array" ref="C1168">IFERROR(INDEX('03.Muestra'!$F$8:$F$42,SMALL(IF("Página Web"='03.Muestra'!$D$8:$D$42,ROW('03.Muestra'!$F$8:$F$42)-MIN(ROW('03.Muestra'!$D$8:$D$42))+1,""),ROW()-1158)),"")</f>
        <v>https://elecciones.comunidad.madrid/es/voto-local-electoral/voto-presencial</v>
      </c>
      <c r="D1168" s="99" t="s">
        <v>174</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cm="1">
        <f t="array" ref="A1169">IFERROR(INDEX('03.Muestra'!$B$8:$B$42,SMALL(IF("Página Web"='03.Muestra'!$D$8:$D$42,ROW('03.Muestra'!$B$8:$B$42)-MIN(ROW('03.Muestra'!$D$8:$D$42))+1,""),ROW()-1158)),"")</f>
        <v>11</v>
      </c>
      <c r="B1169" s="85" t="str" cm="1">
        <f t="array" ref="B1169">IFERROR(INDEX('03.Muestra'!$C$8:$C$42,SMALL(IF("Página Web"='03.Muestra'!$D$8:$D$42,ROW('03.Muestra'!$C$8:$C$42)-MIN(ROW('03.Muestra'!$D$8:$D$42))+1,""),ROW()-1158)),"")</f>
        <v>Ciudadanos temporalmente en el extranjero</v>
      </c>
      <c r="C1169" s="85" t="str" cm="1">
        <f t="array" ref="C1169">IFERROR(INDEX('03.Muestra'!$F$8:$F$42,SMALL(IF("Página Web"='03.Muestra'!$D$8:$D$42,ROW('03.Muestra'!$F$8:$F$42)-MIN(ROW('03.Muestra'!$D$8:$D$42))+1,""),ROW()-1158)),"")</f>
        <v>https://elecciones.comunidad.madrid/es/voto-correo/solicitud-voto-temporalmente-ausentes</v>
      </c>
      <c r="D1169" s="99" t="s">
        <v>174</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cm="1">
        <f t="array" ref="A1170">IFERROR(INDEX('03.Muestra'!$B$8:$B$42,SMALL(IF("Página Web"='03.Muestra'!$D$8:$D$42,ROW('03.Muestra'!$B$8:$B$42)-MIN(ROW('03.Muestra'!$D$8:$D$42))+1,""),ROW()-1158)),"")</f>
        <v>12</v>
      </c>
      <c r="B1170" s="85" t="str" cm="1">
        <f t="array" ref="B1170">IFERROR(INDEX('03.Muestra'!$C$8:$C$42,SMALL(IF("Página Web"='03.Muestra'!$D$8:$D$42,ROW('03.Muestra'!$C$8:$C$42)-MIN(ROW('03.Muestra'!$D$8:$D$42))+1,""),ROW()-1158)),"")</f>
        <v>Nuevo votante</v>
      </c>
      <c r="C1170" s="85" t="str" cm="1">
        <f t="array" ref="C1170">IFERROR(INDEX('03.Muestra'!$F$8:$F$42,SMALL(IF("Página Web"='03.Muestra'!$D$8:$D$42,ROW('03.Muestra'!$F$8:$F$42)-MIN(ROW('03.Muestra'!$D$8:$D$42))+1,""),ROW()-1158)),"")</f>
        <v>https://elecciones.comunidad.madrid/es/votar/nuevo-votante</v>
      </c>
      <c r="D1170" s="99" t="s">
        <v>174</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cm="1">
        <f t="array" ref="A1171">IFERROR(INDEX('03.Muestra'!$B$8:$B$42,SMALL(IF("Página Web"='03.Muestra'!$D$8:$D$42,ROW('03.Muestra'!$B$8:$B$42)-MIN(ROW('03.Muestra'!$D$8:$D$42))+1,""),ROW()-1158)),"")</f>
        <v>13</v>
      </c>
      <c r="B1171" s="85" t="str" cm="1">
        <f t="array" ref="B1171">IFERROR(INDEX('03.Muestra'!$C$8:$C$42,SMALL(IF("Página Web"='03.Muestra'!$D$8:$D$42,ROW('03.Muestra'!$C$8:$C$42)-MIN(ROW('03.Muestra'!$D$8:$D$42))+1,""),ROW()-1158)),"")</f>
        <v>Simulación método D'Hondt</v>
      </c>
      <c r="C1171" s="85" t="str" cm="1">
        <f t="array" ref="C1171">IFERROR(INDEX('03.Muestra'!$F$8:$F$42,SMALL(IF("Página Web"='03.Muestra'!$D$8:$D$42,ROW('03.Muestra'!$F$8:$F$42)-MIN(ROW('03.Muestra'!$D$8:$D$42))+1,""),ROW()-1158)),"")</f>
        <v>https://elecciones.comunidad.madrid/es/informacion-util/simulacion-metodo-dhondt</v>
      </c>
      <c r="D1171" s="99" t="s">
        <v>174</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cm="1">
        <f t="array" ref="A1172">IFERROR(INDEX('03.Muestra'!$B$8:$B$42,SMALL(IF("Página Web"='03.Muestra'!$D$8:$D$42,ROW('03.Muestra'!$B$8:$B$42)-MIN(ROW('03.Muestra'!$D$8:$D$42))+1,""),ROW()-1158)),"")</f>
        <v>14</v>
      </c>
      <c r="B1172" s="85" t="str" cm="1">
        <f t="array" ref="B1172">IFERROR(INDEX('03.Muestra'!$C$8:$C$42,SMALL(IF("Página Web"='03.Muestra'!$D$8:$D$42,ROW('03.Muestra'!$C$8:$C$42)-MIN(ROW('03.Muestra'!$D$8:$D$42))+1,""),ROW()-1158)),"")</f>
        <v>Ley D'Hondt</v>
      </c>
      <c r="C1172" s="85" t="str" cm="1">
        <f t="array" ref="C1172">IFERROR(INDEX('03.Muestra'!$F$8:$F$42,SMALL(IF("Página Web"='03.Muestra'!$D$8:$D$42,ROW('03.Muestra'!$F$8:$F$42)-MIN(ROW('03.Muestra'!$D$8:$D$42))+1,""),ROW()-1158)),"")</f>
        <v>https://elecciones.comunidad.madrid/es/resultados/ley_d_hondt</v>
      </c>
      <c r="D1172" s="99" t="s">
        <v>176</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cm="1">
        <f t="array" ref="A1173">IFERROR(INDEX('03.Muestra'!$B$8:$B$42,SMALL(IF("Página Web"='03.Muestra'!$D$8:$D$42,ROW('03.Muestra'!$B$8:$B$42)-MIN(ROW('03.Muestra'!$D$8:$D$42))+1,""),ROW()-1158)),"")</f>
        <v>15</v>
      </c>
      <c r="B1173" s="85" t="str" cm="1">
        <f t="array" ref="B1173">IFERROR(INDEX('03.Muestra'!$C$8:$C$42,SMALL(IF("Página Web"='03.Muestra'!$D$8:$D$42,ROW('03.Muestra'!$C$8:$C$42)-MIN(ROW('03.Muestra'!$D$8:$D$42))+1,""),ROW()-1158)),"")</f>
        <v>Voto por correo elector CERA en España</v>
      </c>
      <c r="C1173" s="85" t="str" cm="1">
        <f t="array" ref="C1173">IFERROR(INDEX('03.Muestra'!$F$8:$F$42,SMALL(IF("Página Web"='03.Muestra'!$D$8:$D$42,ROW('03.Muestra'!$F$8:$F$42)-MIN(ROW('03.Muestra'!$D$8:$D$42))+1,""),ROW()-1158)),"")</f>
        <v>https://elecciones.comunidad.madrid/es/preguntas-frecuentes/voto-correo-electores-residentes-extranjero</v>
      </c>
      <c r="D1173" s="99" t="s">
        <v>174</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cm="1">
        <f t="array" ref="A1174">IFERROR(INDEX('03.Muestra'!$B$8:$B$42,SMALL(IF("Página Web"='03.Muestra'!$D$8:$D$42,ROW('03.Muestra'!$B$8:$B$42)-MIN(ROW('03.Muestra'!$D$8:$D$42))+1,""),ROW()-1158)),"")</f>
        <v>16</v>
      </c>
      <c r="B1174" s="85" t="str" cm="1">
        <f t="array" ref="B1174">IFERROR(INDEX('03.Muestra'!$C$8:$C$42,SMALL(IF("Página Web"='03.Muestra'!$D$8:$D$42,ROW('03.Muestra'!$C$8:$C$42)-MIN(ROW('03.Muestra'!$D$8:$D$42))+1,""),ROW()-1158)),"")</f>
        <v>Contacto</v>
      </c>
      <c r="C1174" s="85" t="str" cm="1">
        <f t="array" ref="C1174">IFERROR(INDEX('03.Muestra'!$F$8:$F$42,SMALL(IF("Página Web"='03.Muestra'!$D$8:$D$42,ROW('03.Muestra'!$F$8:$F$42)-MIN(ROW('03.Muestra'!$D$8:$D$42))+1,""),ROW()-1158)),"")</f>
        <v>https://elecciones.comunidad.madrid/es/buzon-de-sugerencias</v>
      </c>
      <c r="D1174" s="99" t="s">
        <v>176</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cm="1">
        <f t="array" ref="A1175">IFERROR(INDEX('03.Muestra'!$B$8:$B$42,SMALL(IF("Página Web"='03.Muestra'!$D$8:$D$42,ROW('03.Muestra'!$B$8:$B$42)-MIN(ROW('03.Muestra'!$D$8:$D$42))+1,""),ROW()-1158)),"")</f>
        <v>17</v>
      </c>
      <c r="B1175" s="85" t="str" cm="1">
        <f t="array" ref="B1175">IFERROR(INDEX('03.Muestra'!$C$8:$C$42,SMALL(IF("Página Web"='03.Muestra'!$D$8:$D$42,ROW('03.Muestra'!$C$8:$C$42)-MIN(ROW('03.Muestra'!$D$8:$D$42))+1,""),ROW()-1158)),"")</f>
        <v>Buscador</v>
      </c>
      <c r="C1175" s="85" t="str" cm="1">
        <f t="array" ref="C1175">IFERROR(INDEX('03.Muestra'!$F$8:$F$42,SMALL(IF("Página Web"='03.Muestra'!$D$8:$D$42,ROW('03.Muestra'!$F$8:$F$42)-MIN(ROW('03.Muestra'!$D$8:$D$42))+1,""),ROW()-1158)),"")</f>
        <v>https://elecciones.comunidad.madrid/es/search?search_api_fulltext=partido</v>
      </c>
      <c r="D1175" s="99" t="s">
        <v>174</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cm="1">
        <f t="array" ref="A1176">IFERROR(INDEX('03.Muestra'!$B$8:$B$42,SMALL(IF("Página Web"='03.Muestra'!$D$8:$D$42,ROW('03.Muestra'!$B$8:$B$42)-MIN(ROW('03.Muestra'!$D$8:$D$42))+1,""),ROW()-1158)),"")</f>
        <v>18</v>
      </c>
      <c r="B1176" s="85" t="str" cm="1">
        <f t="array" ref="B1176">IFERROR(INDEX('03.Muestra'!$C$8:$C$42,SMALL(IF("Página Web"='03.Muestra'!$D$8:$D$42,ROW('03.Muestra'!$C$8:$C$42)-MIN(ROW('03.Muestra'!$D$8:$D$42))+1,""),ROW()-1158)),"")</f>
        <v>Aviso Legal-Privacidad</v>
      </c>
      <c r="C1176" s="85" t="str" cm="1">
        <f t="array" ref="C1176">IFERROR(INDEX('03.Muestra'!$F$8:$F$42,SMALL(IF("Página Web"='03.Muestra'!$D$8:$D$42,ROW('03.Muestra'!$F$8:$F$42)-MIN(ROW('03.Muestra'!$D$8:$D$42))+1,""),ROW()-1158)),"")</f>
        <v>https://elecciones.comunidad.madrid/es/aviso-legal</v>
      </c>
      <c r="D1176" s="99" t="s">
        <v>174</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cm="1">
        <f t="array" ref="A1177">IFERROR(INDEX('03.Muestra'!$B$8:$B$42,SMALL(IF("Página Web"='03.Muestra'!$D$8:$D$42,ROW('03.Muestra'!$B$8:$B$42)-MIN(ROW('03.Muestra'!$D$8:$D$42))+1,""),ROW()-1158)),"")</f>
        <v>19</v>
      </c>
      <c r="B1177" s="85" t="str" cm="1">
        <f t="array" ref="B1177">IFERROR(INDEX('03.Muestra'!$C$8:$C$42,SMALL(IF("Página Web"='03.Muestra'!$D$8:$D$42,ROW('03.Muestra'!$C$8:$C$42)-MIN(ROW('03.Muestra'!$D$8:$D$42))+1,""),ROW()-1158)),"")</f>
        <v>Mapa Web</v>
      </c>
      <c r="C1177" s="85" t="str" cm="1">
        <f t="array" ref="C1177">IFERROR(INDEX('03.Muestra'!$F$8:$F$42,SMALL(IF("Página Web"='03.Muestra'!$D$8:$D$42,ROW('03.Muestra'!$F$8:$F$42)-MIN(ROW('03.Muestra'!$D$8:$D$42))+1,""),ROW()-1158)),"")</f>
        <v>https://elecciones.comunidad.madrid/es/sitemap</v>
      </c>
      <c r="D1177" s="99" t="s">
        <v>174</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cm="1">
        <f t="array" ref="A1178">IFERROR(INDEX('03.Muestra'!$B$8:$B$42,SMALL(IF("Página Web"='03.Muestra'!$D$8:$D$42,ROW('03.Muestra'!$B$8:$B$42)-MIN(ROW('03.Muestra'!$D$8:$D$42))+1,""),ROW()-1158)),"")</f>
        <v>20</v>
      </c>
      <c r="B1178" s="85" t="str" cm="1">
        <f t="array" ref="B1178">IFERROR(INDEX('03.Muestra'!$C$8:$C$42,SMALL(IF("Página Web"='03.Muestra'!$D$8:$D$42,ROW('03.Muestra'!$C$8:$C$42)-MIN(ROW('03.Muestra'!$D$8:$D$42))+1,""),ROW()-1158)),"")</f>
        <v>Declaracion Accesibilidad</v>
      </c>
      <c r="C1178" s="85" t="str" cm="1">
        <f t="array" ref="C1178">IFERROR(INDEX('03.Muestra'!$F$8:$F$42,SMALL(IF("Página Web"='03.Muestra'!$D$8:$D$42,ROW('03.Muestra'!$F$8:$F$42)-MIN(ROW('03.Muestra'!$D$8:$D$42))+1,""),ROW()-1158)),"")</f>
        <v>https://elecciones.comunidad.madrid/es/accesibilidad</v>
      </c>
      <c r="D1178" s="99" t="s">
        <v>174</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ref="D1179:D1193" si="61">IF(AND(B1179&lt;&gt;"",C1179&lt;&gt;""),"N/T","")</f>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181</v>
      </c>
      <c r="B1196" s="23" t="s">
        <v>173</v>
      </c>
      <c r="C1196" s="24" t="s">
        <v>255</v>
      </c>
      <c r="D1196" s="25" t="s">
        <v>183</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Inicio</v>
      </c>
      <c r="C1197" s="85" t="str" cm="1">
        <f t="array" ref="C1197">IFERROR(INDEX('03.Muestra'!$F$8:$F$42,SMALL(IF("Página Web"='03.Muestra'!$D$8:$D$42,ROW('03.Muestra'!$F$8:$F$42)-MIN(ROW('03.Muestra'!$D$8:$D$42))+1,""),ROW()-1196)),"")</f>
        <v>https://elecciones.comunidad.madrid/es</v>
      </c>
      <c r="D1197" s="99" t="s">
        <v>176</v>
      </c>
      <c r="E1197" s="79" t="str">
        <f t="shared" ref="E1197:E1231" si="62">IF(D1197&lt;&gt;"",IF(AND(B1197&lt;&gt;"",C1197&lt;&gt;""),"","ERR"),"")</f>
        <v/>
      </c>
      <c r="F1197" s="86" t="s">
        <v>185</v>
      </c>
      <c r="G1197" s="87" t="s">
        <v>186</v>
      </c>
      <c r="H1197" s="88" t="s">
        <v>184</v>
      </c>
      <c r="I1197" s="89" t="s">
        <v>176</v>
      </c>
      <c r="J1197" s="90" t="s">
        <v>174</v>
      </c>
      <c r="K1197" s="179" t="s">
        <v>180</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Resultado Elecciones 28M 2023</v>
      </c>
      <c r="C1198" s="85" t="str" cm="1">
        <f t="array" ref="C1198">IFERROR(INDEX('03.Muestra'!$F$8:$F$42,SMALL(IF("Página Web"='03.Muestra'!$D$8:$D$42,ROW('03.Muestra'!$F$8:$F$42)-MIN(ROW('03.Muestra'!$D$8:$D$42))+1,""),ROW()-1196)),"")</f>
        <v>https://elecciones.comunidad.madrid/es/resultados-elecciones-asamblea-madrid-28m-2023</v>
      </c>
      <c r="D1198" s="99" t="s">
        <v>176</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20</v>
      </c>
      <c r="J1198" s="91">
        <f ca="1">COUNTIF($D1197:INDIRECT("$D" &amp;  SUM(ROW()-1,'03.Muestra'!$D$45)-1),J1197)</f>
        <v>0</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Normativa electoral</v>
      </c>
      <c r="C1199" s="85" t="str" cm="1">
        <f t="array" ref="C1199">IFERROR(INDEX('03.Muestra'!$F$8:$F$42,SMALL(IF("Página Web"='03.Muestra'!$D$8:$D$42,ROW('03.Muestra'!$F$8:$F$42)-MIN(ROW('03.Muestra'!$D$8:$D$42))+1,""),ROW()-1196)),"")</f>
        <v>https://elecciones.comunidad.madrid/es/informacion-electoral/normativa-electoral</v>
      </c>
      <c r="D1199" s="99" t="s">
        <v>176</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Calendario electoral</v>
      </c>
      <c r="C1200" s="85" t="str" cm="1">
        <f t="array" ref="C1200">IFERROR(INDEX('03.Muestra'!$F$8:$F$42,SMALL(IF("Página Web"='03.Muestra'!$D$8:$D$42,ROW('03.Muestra'!$F$8:$F$42)-MIN(ROW('03.Muestra'!$D$8:$D$42))+1,""),ROW()-1196)),"")</f>
        <v>https://elecciones.comunidad.madrid/es/informacion-electoral/calendario-electoral</v>
      </c>
      <c r="D1200" s="99" t="s">
        <v>176</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Direcciones y teléfonos</v>
      </c>
      <c r="C1201" s="85" t="str" cm="1">
        <f t="array" ref="C1201">IFERROR(INDEX('03.Muestra'!$F$8:$F$42,SMALL(IF("Página Web"='03.Muestra'!$D$8:$D$42,ROW('03.Muestra'!$F$8:$F$42)-MIN(ROW('03.Muestra'!$D$8:$D$42))+1,""),ROW()-1196)),"")</f>
        <v>https://elecciones.comunidad.madrid/es/juntas-electorales/direcciones-telefonos</v>
      </c>
      <c r="D1201" s="99" t="s">
        <v>176</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Impresos electrónicos</v>
      </c>
      <c r="C1202" s="85" t="str" cm="1">
        <f t="array" ref="C1202">IFERROR(INDEX('03.Muestra'!$F$8:$F$42,SMALL(IF("Página Web"='03.Muestra'!$D$8:$D$42,ROW('03.Muestra'!$F$8:$F$42)-MIN(ROW('03.Muestra'!$D$8:$D$42))+1,""),ROW()-1196)),"")</f>
        <v>https://elecciones.comunidad.madrid/es/formaciones-politicas/impresos-electronicos</v>
      </c>
      <c r="D1202" s="99" t="s">
        <v>176</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Listado de candidaturas</v>
      </c>
      <c r="C1203" s="85" t="str" cm="1">
        <f t="array" ref="C1203">IFERROR(INDEX('03.Muestra'!$F$8:$F$42,SMALL(IF("Página Web"='03.Muestra'!$D$8:$D$42,ROW('03.Muestra'!$F$8:$F$42)-MIN(ROW('03.Muestra'!$D$8:$D$42))+1,""),ROW()-1196)),"")</f>
        <v>https://elecciones.comunidad.madrid/es/formaciones-politicas/listado-candidaturas-proclamadas</v>
      </c>
      <c r="D1203" s="99" t="s">
        <v>176</v>
      </c>
      <c r="E1203" s="79" t="str">
        <f t="shared" si="62"/>
        <v/>
      </c>
      <c r="F1203" s="18"/>
      <c r="G1203" s="18"/>
      <c r="H1203" s="18"/>
      <c r="I1203" s="18"/>
      <c r="J1203" s="18"/>
      <c r="K1203" s="184"/>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Partido Feminista de España</v>
      </c>
      <c r="C1204" s="85" t="str" cm="1">
        <f t="array" ref="C1204">IFERROR(INDEX('03.Muestra'!$F$8:$F$42,SMALL(IF("Página Web"='03.Muestra'!$D$8:$D$42,ROW('03.Muestra'!$F$8:$F$42)-MIN(ROW('03.Muestra'!$D$8:$D$42))+1,""),ROW()-1196)),"")</f>
        <v>https://elecciones.comunidad.madrid/es/formaciones-politicas/listado-candidaturas/partido-feminista-espana</v>
      </c>
      <c r="D1204" s="99" t="s">
        <v>176</v>
      </c>
      <c r="E1204" s="79" t="str">
        <f t="shared" si="62"/>
        <v/>
      </c>
      <c r="F1204" s="18"/>
      <c r="G1204" s="18"/>
      <c r="H1204" s="18"/>
      <c r="I1204" s="18"/>
      <c r="J1204" s="18"/>
      <c r="K1204" s="184"/>
      <c r="L1204" s="18"/>
    </row>
    <row r="1205" spans="1:12" ht="12" customHeight="1">
      <c r="A1205" s="39" cm="1">
        <f t="array" ref="A1205">IFERROR(INDEX('03.Muestra'!$B$8:$B$42,SMALL(IF("Página Web"='03.Muestra'!$D$8:$D$42,ROW('03.Muestra'!$B$8:$B$42)-MIN(ROW('03.Muestra'!$D$8:$D$42))+1,""),ROW()-1196)),"")</f>
        <v>9</v>
      </c>
      <c r="B1205" s="85" t="str" cm="1">
        <f t="array" ref="B1205">IFERROR(INDEX('03.Muestra'!$C$8:$C$42,SMALL(IF("Página Web"='03.Muestra'!$D$8:$D$42,ROW('03.Muestra'!$C$8:$C$42)-MIN(ROW('03.Muestra'!$D$8:$D$42))+1,""),ROW()-1196)),"")</f>
        <v>¿Dónde voto?</v>
      </c>
      <c r="C1205" s="85" t="str" cm="1">
        <f t="array" ref="C1205">IFERROR(INDEX('03.Muestra'!$F$8:$F$42,SMALL(IF("Página Web"='03.Muestra'!$D$8:$D$42,ROW('03.Muestra'!$F$8:$F$42)-MIN(ROW('03.Muestra'!$D$8:$D$42))+1,""),ROW()-1196)),"")</f>
        <v>https://elecciones.comunidad.madrid/es/votar/donde-voto</v>
      </c>
      <c r="D1205" s="99" t="s">
        <v>176</v>
      </c>
      <c r="E1205" s="79" t="str">
        <f t="shared" si="62"/>
        <v/>
      </c>
      <c r="F1205" s="18"/>
      <c r="G1205" s="18"/>
      <c r="H1205" s="18"/>
      <c r="I1205" s="18"/>
      <c r="J1205" s="18"/>
      <c r="K1205" s="184"/>
      <c r="L1205" s="18"/>
    </row>
    <row r="1206" spans="1:12" ht="12" customHeight="1">
      <c r="A1206" s="39" cm="1">
        <f t="array" ref="A1206">IFERROR(INDEX('03.Muestra'!$B$8:$B$42,SMALL(IF("Página Web"='03.Muestra'!$D$8:$D$42,ROW('03.Muestra'!$B$8:$B$42)-MIN(ROW('03.Muestra'!$D$8:$D$42))+1,""),ROW()-1196)),"")</f>
        <v>10</v>
      </c>
      <c r="B1206" s="85" t="str" cm="1">
        <f t="array" ref="B1206">IFERROR(INDEX('03.Muestra'!$C$8:$C$42,SMALL(IF("Página Web"='03.Muestra'!$D$8:$D$42,ROW('03.Muestra'!$C$8:$C$42)-MIN(ROW('03.Muestra'!$D$8:$D$42))+1,""),ROW()-1196)),"")</f>
        <v>Voto presencial</v>
      </c>
      <c r="C1206" s="85" t="str" cm="1">
        <f t="array" ref="C1206">IFERROR(INDEX('03.Muestra'!$F$8:$F$42,SMALL(IF("Página Web"='03.Muestra'!$D$8:$D$42,ROW('03.Muestra'!$F$8:$F$42)-MIN(ROW('03.Muestra'!$D$8:$D$42))+1,""),ROW()-1196)),"")</f>
        <v>https://elecciones.comunidad.madrid/es/voto-local-electoral/voto-presencial</v>
      </c>
      <c r="D1206" s="99" t="s">
        <v>176</v>
      </c>
      <c r="E1206" s="79" t="str">
        <f t="shared" si="62"/>
        <v/>
      </c>
      <c r="F1206" s="18"/>
      <c r="G1206" s="18"/>
      <c r="H1206" s="18"/>
      <c r="I1206" s="18"/>
      <c r="J1206" s="18"/>
      <c r="K1206" s="184"/>
      <c r="L1206" s="18"/>
    </row>
    <row r="1207" spans="1:12" ht="12" customHeight="1">
      <c r="A1207" s="39" cm="1">
        <f t="array" ref="A1207">IFERROR(INDEX('03.Muestra'!$B$8:$B$42,SMALL(IF("Página Web"='03.Muestra'!$D$8:$D$42,ROW('03.Muestra'!$B$8:$B$42)-MIN(ROW('03.Muestra'!$D$8:$D$42))+1,""),ROW()-1196)),"")</f>
        <v>11</v>
      </c>
      <c r="B1207" s="85" t="str" cm="1">
        <f t="array" ref="B1207">IFERROR(INDEX('03.Muestra'!$C$8:$C$42,SMALL(IF("Página Web"='03.Muestra'!$D$8:$D$42,ROW('03.Muestra'!$C$8:$C$42)-MIN(ROW('03.Muestra'!$D$8:$D$42))+1,""),ROW()-1196)),"")</f>
        <v>Ciudadanos temporalmente en el extranjero</v>
      </c>
      <c r="C1207" s="85" t="str" cm="1">
        <f t="array" ref="C1207">IFERROR(INDEX('03.Muestra'!$F$8:$F$42,SMALL(IF("Página Web"='03.Muestra'!$D$8:$D$42,ROW('03.Muestra'!$F$8:$F$42)-MIN(ROW('03.Muestra'!$D$8:$D$42))+1,""),ROW()-1196)),"")</f>
        <v>https://elecciones.comunidad.madrid/es/voto-correo/solicitud-voto-temporalmente-ausentes</v>
      </c>
      <c r="D1207" s="99" t="s">
        <v>176</v>
      </c>
      <c r="E1207" s="79" t="str">
        <f t="shared" si="62"/>
        <v/>
      </c>
      <c r="F1207" s="18"/>
      <c r="G1207" s="18"/>
      <c r="H1207" s="18"/>
      <c r="I1207" s="18"/>
      <c r="J1207" s="18"/>
      <c r="K1207" s="184"/>
      <c r="L1207" s="18"/>
    </row>
    <row r="1208" spans="1:12" ht="12" customHeight="1">
      <c r="A1208" s="39" cm="1">
        <f t="array" ref="A1208">IFERROR(INDEX('03.Muestra'!$B$8:$B$42,SMALL(IF("Página Web"='03.Muestra'!$D$8:$D$42,ROW('03.Muestra'!$B$8:$B$42)-MIN(ROW('03.Muestra'!$D$8:$D$42))+1,""),ROW()-1196)),"")</f>
        <v>12</v>
      </c>
      <c r="B1208" s="85" t="str" cm="1">
        <f t="array" ref="B1208">IFERROR(INDEX('03.Muestra'!$C$8:$C$42,SMALL(IF("Página Web"='03.Muestra'!$D$8:$D$42,ROW('03.Muestra'!$C$8:$C$42)-MIN(ROW('03.Muestra'!$D$8:$D$42))+1,""),ROW()-1196)),"")</f>
        <v>Nuevo votante</v>
      </c>
      <c r="C1208" s="85" t="str" cm="1">
        <f t="array" ref="C1208">IFERROR(INDEX('03.Muestra'!$F$8:$F$42,SMALL(IF("Página Web"='03.Muestra'!$D$8:$D$42,ROW('03.Muestra'!$F$8:$F$42)-MIN(ROW('03.Muestra'!$D$8:$D$42))+1,""),ROW()-1196)),"")</f>
        <v>https://elecciones.comunidad.madrid/es/votar/nuevo-votante</v>
      </c>
      <c r="D1208" s="99" t="s">
        <v>176</v>
      </c>
      <c r="E1208" s="79" t="str">
        <f t="shared" si="62"/>
        <v/>
      </c>
      <c r="F1208" s="18"/>
      <c r="G1208" s="18"/>
      <c r="H1208" s="18"/>
      <c r="I1208" s="18"/>
      <c r="J1208" s="18"/>
      <c r="K1208" s="184"/>
      <c r="L1208" s="18"/>
    </row>
    <row r="1209" spans="1:12" ht="12" customHeight="1">
      <c r="A1209" s="39" cm="1">
        <f t="array" ref="A1209">IFERROR(INDEX('03.Muestra'!$B$8:$B$42,SMALL(IF("Página Web"='03.Muestra'!$D$8:$D$42,ROW('03.Muestra'!$B$8:$B$42)-MIN(ROW('03.Muestra'!$D$8:$D$42))+1,""),ROW()-1196)),"")</f>
        <v>13</v>
      </c>
      <c r="B1209" s="85" t="str" cm="1">
        <f t="array" ref="B1209">IFERROR(INDEX('03.Muestra'!$C$8:$C$42,SMALL(IF("Página Web"='03.Muestra'!$D$8:$D$42,ROW('03.Muestra'!$C$8:$C$42)-MIN(ROW('03.Muestra'!$D$8:$D$42))+1,""),ROW()-1196)),"")</f>
        <v>Simulación método D'Hondt</v>
      </c>
      <c r="C1209" s="85" t="str" cm="1">
        <f t="array" ref="C1209">IFERROR(INDEX('03.Muestra'!$F$8:$F$42,SMALL(IF("Página Web"='03.Muestra'!$D$8:$D$42,ROW('03.Muestra'!$F$8:$F$42)-MIN(ROW('03.Muestra'!$D$8:$D$42))+1,""),ROW()-1196)),"")</f>
        <v>https://elecciones.comunidad.madrid/es/informacion-util/simulacion-metodo-dhondt</v>
      </c>
      <c r="D1209" s="99" t="s">
        <v>176</v>
      </c>
      <c r="E1209" s="79" t="str">
        <f t="shared" si="62"/>
        <v/>
      </c>
      <c r="F1209" s="18"/>
      <c r="G1209" s="18"/>
      <c r="H1209" s="18"/>
      <c r="I1209" s="18"/>
      <c r="J1209" s="18"/>
      <c r="K1209" s="184"/>
      <c r="L1209" s="18"/>
    </row>
    <row r="1210" spans="1:12" ht="12" customHeight="1">
      <c r="A1210" s="39" cm="1">
        <f t="array" ref="A1210">IFERROR(INDEX('03.Muestra'!$B$8:$B$42,SMALL(IF("Página Web"='03.Muestra'!$D$8:$D$42,ROW('03.Muestra'!$B$8:$B$42)-MIN(ROW('03.Muestra'!$D$8:$D$42))+1,""),ROW()-1196)),"")</f>
        <v>14</v>
      </c>
      <c r="B1210" s="85" t="str" cm="1">
        <f t="array" ref="B1210">IFERROR(INDEX('03.Muestra'!$C$8:$C$42,SMALL(IF("Página Web"='03.Muestra'!$D$8:$D$42,ROW('03.Muestra'!$C$8:$C$42)-MIN(ROW('03.Muestra'!$D$8:$D$42))+1,""),ROW()-1196)),"")</f>
        <v>Ley D'Hondt</v>
      </c>
      <c r="C1210" s="85" t="str" cm="1">
        <f t="array" ref="C1210">IFERROR(INDEX('03.Muestra'!$F$8:$F$42,SMALL(IF("Página Web"='03.Muestra'!$D$8:$D$42,ROW('03.Muestra'!$F$8:$F$42)-MIN(ROW('03.Muestra'!$D$8:$D$42))+1,""),ROW()-1196)),"")</f>
        <v>https://elecciones.comunidad.madrid/es/resultados/ley_d_hondt</v>
      </c>
      <c r="D1210" s="99" t="s">
        <v>176</v>
      </c>
      <c r="E1210" s="79" t="str">
        <f t="shared" si="62"/>
        <v/>
      </c>
      <c r="F1210" s="18"/>
      <c r="G1210" s="18"/>
      <c r="H1210" s="18"/>
      <c r="I1210" s="18"/>
      <c r="J1210" s="18"/>
      <c r="K1210" s="184"/>
      <c r="L1210" s="18"/>
    </row>
    <row r="1211" spans="1:12" ht="12" customHeight="1">
      <c r="A1211" s="39" cm="1">
        <f t="array" ref="A1211">IFERROR(INDEX('03.Muestra'!$B$8:$B$42,SMALL(IF("Página Web"='03.Muestra'!$D$8:$D$42,ROW('03.Muestra'!$B$8:$B$42)-MIN(ROW('03.Muestra'!$D$8:$D$42))+1,""),ROW()-1196)),"")</f>
        <v>15</v>
      </c>
      <c r="B1211" s="85" t="str" cm="1">
        <f t="array" ref="B1211">IFERROR(INDEX('03.Muestra'!$C$8:$C$42,SMALL(IF("Página Web"='03.Muestra'!$D$8:$D$42,ROW('03.Muestra'!$C$8:$C$42)-MIN(ROW('03.Muestra'!$D$8:$D$42))+1,""),ROW()-1196)),"")</f>
        <v>Voto por correo elector CERA en España</v>
      </c>
      <c r="C1211" s="85" t="str" cm="1">
        <f t="array" ref="C1211">IFERROR(INDEX('03.Muestra'!$F$8:$F$42,SMALL(IF("Página Web"='03.Muestra'!$D$8:$D$42,ROW('03.Muestra'!$F$8:$F$42)-MIN(ROW('03.Muestra'!$D$8:$D$42))+1,""),ROW()-1196)),"")</f>
        <v>https://elecciones.comunidad.madrid/es/preguntas-frecuentes/voto-correo-electores-residentes-extranjero</v>
      </c>
      <c r="D1211" s="99" t="s">
        <v>176</v>
      </c>
      <c r="E1211" s="79" t="str">
        <f t="shared" si="62"/>
        <v/>
      </c>
      <c r="F1211" s="18"/>
      <c r="G1211" s="18"/>
      <c r="H1211" s="18"/>
      <c r="I1211" s="18"/>
      <c r="J1211" s="18"/>
      <c r="K1211" s="184"/>
      <c r="L1211" s="18"/>
    </row>
    <row r="1212" spans="1:12" ht="12" customHeight="1">
      <c r="A1212" s="39" cm="1">
        <f t="array" ref="A1212">IFERROR(INDEX('03.Muestra'!$B$8:$B$42,SMALL(IF("Página Web"='03.Muestra'!$D$8:$D$42,ROW('03.Muestra'!$B$8:$B$42)-MIN(ROW('03.Muestra'!$D$8:$D$42))+1,""),ROW()-1196)),"")</f>
        <v>16</v>
      </c>
      <c r="B1212" s="85" t="str" cm="1">
        <f t="array" ref="B1212">IFERROR(INDEX('03.Muestra'!$C$8:$C$42,SMALL(IF("Página Web"='03.Muestra'!$D$8:$D$42,ROW('03.Muestra'!$C$8:$C$42)-MIN(ROW('03.Muestra'!$D$8:$D$42))+1,""),ROW()-1196)),"")</f>
        <v>Contacto</v>
      </c>
      <c r="C1212" s="85" t="str" cm="1">
        <f t="array" ref="C1212">IFERROR(INDEX('03.Muestra'!$F$8:$F$42,SMALL(IF("Página Web"='03.Muestra'!$D$8:$D$42,ROW('03.Muestra'!$F$8:$F$42)-MIN(ROW('03.Muestra'!$D$8:$D$42))+1,""),ROW()-1196)),"")</f>
        <v>https://elecciones.comunidad.madrid/es/buzon-de-sugerencias</v>
      </c>
      <c r="D1212" s="99" t="s">
        <v>176</v>
      </c>
      <c r="E1212" s="79" t="str">
        <f t="shared" si="62"/>
        <v/>
      </c>
      <c r="F1212" s="18"/>
      <c r="G1212" s="18"/>
      <c r="H1212" s="18"/>
      <c r="I1212" s="18"/>
      <c r="J1212" s="18"/>
      <c r="K1212" s="184"/>
      <c r="L1212" s="18"/>
    </row>
    <row r="1213" spans="1:12" ht="12" customHeight="1">
      <c r="A1213" s="39" cm="1">
        <f t="array" ref="A1213">IFERROR(INDEX('03.Muestra'!$B$8:$B$42,SMALL(IF("Página Web"='03.Muestra'!$D$8:$D$42,ROW('03.Muestra'!$B$8:$B$42)-MIN(ROW('03.Muestra'!$D$8:$D$42))+1,""),ROW()-1196)),"")</f>
        <v>17</v>
      </c>
      <c r="B1213" s="85" t="str" cm="1">
        <f t="array" ref="B1213">IFERROR(INDEX('03.Muestra'!$C$8:$C$42,SMALL(IF("Página Web"='03.Muestra'!$D$8:$D$42,ROW('03.Muestra'!$C$8:$C$42)-MIN(ROW('03.Muestra'!$D$8:$D$42))+1,""),ROW()-1196)),"")</f>
        <v>Buscador</v>
      </c>
      <c r="C1213" s="85" t="str" cm="1">
        <f t="array" ref="C1213">IFERROR(INDEX('03.Muestra'!$F$8:$F$42,SMALL(IF("Página Web"='03.Muestra'!$D$8:$D$42,ROW('03.Muestra'!$F$8:$F$42)-MIN(ROW('03.Muestra'!$D$8:$D$42))+1,""),ROW()-1196)),"")</f>
        <v>https://elecciones.comunidad.madrid/es/search?search_api_fulltext=partido</v>
      </c>
      <c r="D1213" s="99" t="s">
        <v>176</v>
      </c>
      <c r="E1213" s="79" t="str">
        <f t="shared" si="62"/>
        <v/>
      </c>
      <c r="F1213" s="18"/>
      <c r="G1213" s="18"/>
      <c r="H1213" s="18"/>
      <c r="I1213" s="18"/>
      <c r="J1213" s="18"/>
      <c r="K1213" s="184"/>
      <c r="L1213" s="18"/>
    </row>
    <row r="1214" spans="1:12" ht="12" customHeight="1">
      <c r="A1214" s="39" cm="1">
        <f t="array" ref="A1214">IFERROR(INDEX('03.Muestra'!$B$8:$B$42,SMALL(IF("Página Web"='03.Muestra'!$D$8:$D$42,ROW('03.Muestra'!$B$8:$B$42)-MIN(ROW('03.Muestra'!$D$8:$D$42))+1,""),ROW()-1196)),"")</f>
        <v>18</v>
      </c>
      <c r="B1214" s="85" t="str" cm="1">
        <f t="array" ref="B1214">IFERROR(INDEX('03.Muestra'!$C$8:$C$42,SMALL(IF("Página Web"='03.Muestra'!$D$8:$D$42,ROW('03.Muestra'!$C$8:$C$42)-MIN(ROW('03.Muestra'!$D$8:$D$42))+1,""),ROW()-1196)),"")</f>
        <v>Aviso Legal-Privacidad</v>
      </c>
      <c r="C1214" s="85" t="str" cm="1">
        <f t="array" ref="C1214">IFERROR(INDEX('03.Muestra'!$F$8:$F$42,SMALL(IF("Página Web"='03.Muestra'!$D$8:$D$42,ROW('03.Muestra'!$F$8:$F$42)-MIN(ROW('03.Muestra'!$D$8:$D$42))+1,""),ROW()-1196)),"")</f>
        <v>https://elecciones.comunidad.madrid/es/aviso-legal</v>
      </c>
      <c r="D1214" s="99" t="s">
        <v>176</v>
      </c>
      <c r="E1214" s="79" t="str">
        <f t="shared" si="62"/>
        <v/>
      </c>
      <c r="F1214" s="18"/>
      <c r="G1214" s="18"/>
      <c r="H1214" s="18"/>
      <c r="I1214" s="18"/>
      <c r="J1214" s="18"/>
      <c r="K1214" s="184"/>
      <c r="L1214" s="18"/>
    </row>
    <row r="1215" spans="1:12" ht="12" customHeight="1">
      <c r="A1215" s="39" cm="1">
        <f t="array" ref="A1215">IFERROR(INDEX('03.Muestra'!$B$8:$B$42,SMALL(IF("Página Web"='03.Muestra'!$D$8:$D$42,ROW('03.Muestra'!$B$8:$B$42)-MIN(ROW('03.Muestra'!$D$8:$D$42))+1,""),ROW()-1196)),"")</f>
        <v>19</v>
      </c>
      <c r="B1215" s="85" t="str" cm="1">
        <f t="array" ref="B1215">IFERROR(INDEX('03.Muestra'!$C$8:$C$42,SMALL(IF("Página Web"='03.Muestra'!$D$8:$D$42,ROW('03.Muestra'!$C$8:$C$42)-MIN(ROW('03.Muestra'!$D$8:$D$42))+1,""),ROW()-1196)),"")</f>
        <v>Mapa Web</v>
      </c>
      <c r="C1215" s="85" t="str" cm="1">
        <f t="array" ref="C1215">IFERROR(INDEX('03.Muestra'!$F$8:$F$42,SMALL(IF("Página Web"='03.Muestra'!$D$8:$D$42,ROW('03.Muestra'!$F$8:$F$42)-MIN(ROW('03.Muestra'!$D$8:$D$42))+1,""),ROW()-1196)),"")</f>
        <v>https://elecciones.comunidad.madrid/es/sitemap</v>
      </c>
      <c r="D1215" s="99" t="s">
        <v>176</v>
      </c>
      <c r="E1215" s="79" t="str">
        <f t="shared" si="62"/>
        <v/>
      </c>
      <c r="F1215" s="18"/>
      <c r="G1215" s="18"/>
      <c r="H1215" s="18"/>
      <c r="I1215" s="18"/>
      <c r="J1215" s="18"/>
      <c r="K1215" s="184"/>
      <c r="L1215" s="18"/>
    </row>
    <row r="1216" spans="1:12" ht="12" customHeight="1">
      <c r="A1216" s="39" cm="1">
        <f t="array" ref="A1216">IFERROR(INDEX('03.Muestra'!$B$8:$B$42,SMALL(IF("Página Web"='03.Muestra'!$D$8:$D$42,ROW('03.Muestra'!$B$8:$B$42)-MIN(ROW('03.Muestra'!$D$8:$D$42))+1,""),ROW()-1196)),"")</f>
        <v>20</v>
      </c>
      <c r="B1216" s="85" t="str" cm="1">
        <f t="array" ref="B1216">IFERROR(INDEX('03.Muestra'!$C$8:$C$42,SMALL(IF("Página Web"='03.Muestra'!$D$8:$D$42,ROW('03.Muestra'!$C$8:$C$42)-MIN(ROW('03.Muestra'!$D$8:$D$42))+1,""),ROW()-1196)),"")</f>
        <v>Declaracion Accesibilidad</v>
      </c>
      <c r="C1216" s="85" t="str" cm="1">
        <f t="array" ref="C1216">IFERROR(INDEX('03.Muestra'!$F$8:$F$42,SMALL(IF("Página Web"='03.Muestra'!$D$8:$D$42,ROW('03.Muestra'!$F$8:$F$42)-MIN(ROW('03.Muestra'!$D$8:$D$42))+1,""),ROW()-1196)),"")</f>
        <v>https://elecciones.comunidad.madrid/es/accesibilidad</v>
      </c>
      <c r="D1216" s="99" t="s">
        <v>176</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ref="D1217:D1231" si="63">IF(AND(B1217&lt;&gt;"",C1217&lt;&gt;""),"N/T","")</f>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181</v>
      </c>
      <c r="B1234" s="23" t="s">
        <v>173</v>
      </c>
      <c r="C1234" s="24" t="s">
        <v>256</v>
      </c>
      <c r="D1234" s="25" t="s">
        <v>183</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Inicio</v>
      </c>
      <c r="C1235" s="85" t="str" cm="1">
        <f t="array" ref="C1235">IFERROR(INDEX('03.Muestra'!$F$8:$F$42,SMALL(IF("Página Web"='03.Muestra'!$D$8:$D$42,ROW('03.Muestra'!$F$8:$F$42)-MIN(ROW('03.Muestra'!$D$8:$D$42))+1,""),ROW()-1234)),"")</f>
        <v>https://elecciones.comunidad.madrid/es</v>
      </c>
      <c r="D1235" s="99" t="s">
        <v>184</v>
      </c>
      <c r="E1235" s="79" t="str">
        <f t="shared" ref="E1235:E1269" si="64">IF(D1235&lt;&gt;"",IF(AND(B1235&lt;&gt;"",C1235&lt;&gt;""),"","ERR"),"")</f>
        <v/>
      </c>
      <c r="F1235" s="86" t="s">
        <v>185</v>
      </c>
      <c r="G1235" s="87" t="s">
        <v>186</v>
      </c>
      <c r="H1235" s="88" t="s">
        <v>184</v>
      </c>
      <c r="I1235" s="89" t="s">
        <v>176</v>
      </c>
      <c r="J1235" s="90" t="s">
        <v>174</v>
      </c>
      <c r="K1235" s="179" t="s">
        <v>180</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Resultado Elecciones 28M 2023</v>
      </c>
      <c r="C1236" s="85" t="str" cm="1">
        <f t="array" ref="C1236">IFERROR(INDEX('03.Muestra'!$F$8:$F$42,SMALL(IF("Página Web"='03.Muestra'!$D$8:$D$42,ROW('03.Muestra'!$F$8:$F$42)-MIN(ROW('03.Muestra'!$D$8:$D$42))+1,""),ROW()-1234)),"")</f>
        <v>https://elecciones.comunidad.madrid/es/resultados-elecciones-asamblea-madrid-28m-2023</v>
      </c>
      <c r="D1236" s="99" t="s">
        <v>184</v>
      </c>
      <c r="E1236" s="79" t="str">
        <f t="shared" si="64"/>
        <v/>
      </c>
      <c r="F1236" s="91">
        <f ca="1">COUNTIF($D1235:INDIRECT("$D" &amp;  SUM(ROW()-1,'03.Muestra'!$D$45)-1),F1235)</f>
        <v>0</v>
      </c>
      <c r="G1236" s="91">
        <f ca="1">COUNTIF($D1235:INDIRECT("$D" &amp;  SUM(ROW()-1,'03.Muestra'!$D$45)-1),G1235)</f>
        <v>0</v>
      </c>
      <c r="H1236" s="91">
        <f ca="1">COUNTIF($D1235:INDIRECT("$D" &amp;  SUM(ROW()-1,'03.Muestra'!$D$45)-1),H1235)</f>
        <v>20</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Normativa electoral</v>
      </c>
      <c r="C1237" s="85" t="str" cm="1">
        <f t="array" ref="C1237">IFERROR(INDEX('03.Muestra'!$F$8:$F$42,SMALL(IF("Página Web"='03.Muestra'!$D$8:$D$42,ROW('03.Muestra'!$F$8:$F$42)-MIN(ROW('03.Muestra'!$D$8:$D$42))+1,""),ROW()-1234)),"")</f>
        <v>https://elecciones.comunidad.madrid/es/informacion-electoral/normativa-electoral</v>
      </c>
      <c r="D1237" s="99" t="s">
        <v>184</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Calendario electoral</v>
      </c>
      <c r="C1238" s="85" t="str" cm="1">
        <f t="array" ref="C1238">IFERROR(INDEX('03.Muestra'!$F$8:$F$42,SMALL(IF("Página Web"='03.Muestra'!$D$8:$D$42,ROW('03.Muestra'!$F$8:$F$42)-MIN(ROW('03.Muestra'!$D$8:$D$42))+1,""),ROW()-1234)),"")</f>
        <v>https://elecciones.comunidad.madrid/es/informacion-electoral/calendario-electoral</v>
      </c>
      <c r="D1238" s="99" t="s">
        <v>184</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Direcciones y teléfonos</v>
      </c>
      <c r="C1239" s="85" t="str" cm="1">
        <f t="array" ref="C1239">IFERROR(INDEX('03.Muestra'!$F$8:$F$42,SMALL(IF("Página Web"='03.Muestra'!$D$8:$D$42,ROW('03.Muestra'!$F$8:$F$42)-MIN(ROW('03.Muestra'!$D$8:$D$42))+1,""),ROW()-1234)),"")</f>
        <v>https://elecciones.comunidad.madrid/es/juntas-electorales/direcciones-telefonos</v>
      </c>
      <c r="D1239" s="99" t="s">
        <v>184</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Impresos electrónicos</v>
      </c>
      <c r="C1240" s="85" t="str" cm="1">
        <f t="array" ref="C1240">IFERROR(INDEX('03.Muestra'!$F$8:$F$42,SMALL(IF("Página Web"='03.Muestra'!$D$8:$D$42,ROW('03.Muestra'!$F$8:$F$42)-MIN(ROW('03.Muestra'!$D$8:$D$42))+1,""),ROW()-1234)),"")</f>
        <v>https://elecciones.comunidad.madrid/es/formaciones-politicas/impresos-electronicos</v>
      </c>
      <c r="D1240" s="99" t="s">
        <v>184</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Listado de candidaturas</v>
      </c>
      <c r="C1241" s="85" t="str" cm="1">
        <f t="array" ref="C1241">IFERROR(INDEX('03.Muestra'!$F$8:$F$42,SMALL(IF("Página Web"='03.Muestra'!$D$8:$D$42,ROW('03.Muestra'!$F$8:$F$42)-MIN(ROW('03.Muestra'!$D$8:$D$42))+1,""),ROW()-1234)),"")</f>
        <v>https://elecciones.comunidad.madrid/es/formaciones-politicas/listado-candidaturas-proclamadas</v>
      </c>
      <c r="D1241" s="99" t="s">
        <v>184</v>
      </c>
      <c r="E1241" s="79" t="str">
        <f t="shared" si="64"/>
        <v/>
      </c>
      <c r="F1241" s="18"/>
      <c r="G1241" s="18"/>
      <c r="H1241" s="18"/>
      <c r="I1241" s="18"/>
      <c r="J1241" s="18"/>
      <c r="K1241" s="184"/>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Partido Feminista de España</v>
      </c>
      <c r="C1242" s="85" t="str" cm="1">
        <f t="array" ref="C1242">IFERROR(INDEX('03.Muestra'!$F$8:$F$42,SMALL(IF("Página Web"='03.Muestra'!$D$8:$D$42,ROW('03.Muestra'!$F$8:$F$42)-MIN(ROW('03.Muestra'!$D$8:$D$42))+1,""),ROW()-1234)),"")</f>
        <v>https://elecciones.comunidad.madrid/es/formaciones-politicas/listado-candidaturas/partido-feminista-espana</v>
      </c>
      <c r="D1242" s="99" t="s">
        <v>184</v>
      </c>
      <c r="E1242" s="79" t="str">
        <f t="shared" si="64"/>
        <v/>
      </c>
      <c r="F1242" s="18"/>
      <c r="G1242" s="18"/>
      <c r="H1242" s="18"/>
      <c r="I1242" s="18"/>
      <c r="J1242" s="18"/>
      <c r="K1242" s="184"/>
      <c r="L1242" s="18"/>
    </row>
    <row r="1243" spans="1:12" ht="12" customHeight="1">
      <c r="A1243" s="39" cm="1">
        <f t="array" ref="A1243">IFERROR(INDEX('03.Muestra'!$B$8:$B$42,SMALL(IF("Página Web"='03.Muestra'!$D$8:$D$42,ROW('03.Muestra'!$B$8:$B$42)-MIN(ROW('03.Muestra'!$D$8:$D$42))+1,""),ROW()-1234)),"")</f>
        <v>9</v>
      </c>
      <c r="B1243" s="85" t="str" cm="1">
        <f t="array" ref="B1243">IFERROR(INDEX('03.Muestra'!$C$8:$C$42,SMALL(IF("Página Web"='03.Muestra'!$D$8:$D$42,ROW('03.Muestra'!$C$8:$C$42)-MIN(ROW('03.Muestra'!$D$8:$D$42))+1,""),ROW()-1234)),"")</f>
        <v>¿Dónde voto?</v>
      </c>
      <c r="C1243" s="85" t="str" cm="1">
        <f t="array" ref="C1243">IFERROR(INDEX('03.Muestra'!$F$8:$F$42,SMALL(IF("Página Web"='03.Muestra'!$D$8:$D$42,ROW('03.Muestra'!$F$8:$F$42)-MIN(ROW('03.Muestra'!$D$8:$D$42))+1,""),ROW()-1234)),"")</f>
        <v>https://elecciones.comunidad.madrid/es/votar/donde-voto</v>
      </c>
      <c r="D1243" s="99" t="s">
        <v>184</v>
      </c>
      <c r="E1243" s="79" t="str">
        <f t="shared" si="64"/>
        <v/>
      </c>
      <c r="F1243" s="18"/>
      <c r="G1243" s="18"/>
      <c r="H1243" s="18"/>
      <c r="I1243" s="18"/>
      <c r="J1243" s="18"/>
      <c r="K1243" s="184"/>
      <c r="L1243" s="18"/>
    </row>
    <row r="1244" spans="1:12" ht="12" customHeight="1">
      <c r="A1244" s="39" cm="1">
        <f t="array" ref="A1244">IFERROR(INDEX('03.Muestra'!$B$8:$B$42,SMALL(IF("Página Web"='03.Muestra'!$D$8:$D$42,ROW('03.Muestra'!$B$8:$B$42)-MIN(ROW('03.Muestra'!$D$8:$D$42))+1,""),ROW()-1234)),"")</f>
        <v>10</v>
      </c>
      <c r="B1244" s="85" t="str" cm="1">
        <f t="array" ref="B1244">IFERROR(INDEX('03.Muestra'!$C$8:$C$42,SMALL(IF("Página Web"='03.Muestra'!$D$8:$D$42,ROW('03.Muestra'!$C$8:$C$42)-MIN(ROW('03.Muestra'!$D$8:$D$42))+1,""),ROW()-1234)),"")</f>
        <v>Voto presencial</v>
      </c>
      <c r="C1244" s="85" t="str" cm="1">
        <f t="array" ref="C1244">IFERROR(INDEX('03.Muestra'!$F$8:$F$42,SMALL(IF("Página Web"='03.Muestra'!$D$8:$D$42,ROW('03.Muestra'!$F$8:$F$42)-MIN(ROW('03.Muestra'!$D$8:$D$42))+1,""),ROW()-1234)),"")</f>
        <v>https://elecciones.comunidad.madrid/es/voto-local-electoral/voto-presencial</v>
      </c>
      <c r="D1244" s="99" t="s">
        <v>184</v>
      </c>
      <c r="E1244" s="79" t="str">
        <f t="shared" si="64"/>
        <v/>
      </c>
      <c r="F1244" s="18"/>
      <c r="G1244" s="18"/>
      <c r="H1244" s="18"/>
      <c r="I1244" s="18"/>
      <c r="J1244" s="18"/>
      <c r="K1244" s="184"/>
      <c r="L1244" s="18"/>
    </row>
    <row r="1245" spans="1:12" ht="12" customHeight="1">
      <c r="A1245" s="39" cm="1">
        <f t="array" ref="A1245">IFERROR(INDEX('03.Muestra'!$B$8:$B$42,SMALL(IF("Página Web"='03.Muestra'!$D$8:$D$42,ROW('03.Muestra'!$B$8:$B$42)-MIN(ROW('03.Muestra'!$D$8:$D$42))+1,""),ROW()-1234)),"")</f>
        <v>11</v>
      </c>
      <c r="B1245" s="85" t="str" cm="1">
        <f t="array" ref="B1245">IFERROR(INDEX('03.Muestra'!$C$8:$C$42,SMALL(IF("Página Web"='03.Muestra'!$D$8:$D$42,ROW('03.Muestra'!$C$8:$C$42)-MIN(ROW('03.Muestra'!$D$8:$D$42))+1,""),ROW()-1234)),"")</f>
        <v>Ciudadanos temporalmente en el extranjero</v>
      </c>
      <c r="C1245" s="85" t="str" cm="1">
        <f t="array" ref="C1245">IFERROR(INDEX('03.Muestra'!$F$8:$F$42,SMALL(IF("Página Web"='03.Muestra'!$D$8:$D$42,ROW('03.Muestra'!$F$8:$F$42)-MIN(ROW('03.Muestra'!$D$8:$D$42))+1,""),ROW()-1234)),"")</f>
        <v>https://elecciones.comunidad.madrid/es/voto-correo/solicitud-voto-temporalmente-ausentes</v>
      </c>
      <c r="D1245" s="99" t="s">
        <v>184</v>
      </c>
      <c r="E1245" s="79" t="str">
        <f t="shared" si="64"/>
        <v/>
      </c>
      <c r="F1245" s="18"/>
      <c r="G1245" s="18"/>
      <c r="H1245" s="18"/>
      <c r="I1245" s="18"/>
      <c r="J1245" s="18"/>
      <c r="K1245" s="184"/>
      <c r="L1245" s="18"/>
    </row>
    <row r="1246" spans="1:12" ht="12" customHeight="1">
      <c r="A1246" s="39" cm="1">
        <f t="array" ref="A1246">IFERROR(INDEX('03.Muestra'!$B$8:$B$42,SMALL(IF("Página Web"='03.Muestra'!$D$8:$D$42,ROW('03.Muestra'!$B$8:$B$42)-MIN(ROW('03.Muestra'!$D$8:$D$42))+1,""),ROW()-1234)),"")</f>
        <v>12</v>
      </c>
      <c r="B1246" s="85" t="str" cm="1">
        <f t="array" ref="B1246">IFERROR(INDEX('03.Muestra'!$C$8:$C$42,SMALL(IF("Página Web"='03.Muestra'!$D$8:$D$42,ROW('03.Muestra'!$C$8:$C$42)-MIN(ROW('03.Muestra'!$D$8:$D$42))+1,""),ROW()-1234)),"")</f>
        <v>Nuevo votante</v>
      </c>
      <c r="C1246" s="85" t="str" cm="1">
        <f t="array" ref="C1246">IFERROR(INDEX('03.Muestra'!$F$8:$F$42,SMALL(IF("Página Web"='03.Muestra'!$D$8:$D$42,ROW('03.Muestra'!$F$8:$F$42)-MIN(ROW('03.Muestra'!$D$8:$D$42))+1,""),ROW()-1234)),"")</f>
        <v>https://elecciones.comunidad.madrid/es/votar/nuevo-votante</v>
      </c>
      <c r="D1246" s="99" t="s">
        <v>184</v>
      </c>
      <c r="E1246" s="79" t="str">
        <f t="shared" si="64"/>
        <v/>
      </c>
      <c r="F1246" s="18"/>
      <c r="G1246" s="18"/>
      <c r="H1246" s="18"/>
      <c r="I1246" s="18"/>
      <c r="J1246" s="18"/>
      <c r="K1246" s="184"/>
      <c r="L1246" s="18"/>
    </row>
    <row r="1247" spans="1:12" ht="12" customHeight="1">
      <c r="A1247" s="39" cm="1">
        <f t="array" ref="A1247">IFERROR(INDEX('03.Muestra'!$B$8:$B$42,SMALL(IF("Página Web"='03.Muestra'!$D$8:$D$42,ROW('03.Muestra'!$B$8:$B$42)-MIN(ROW('03.Muestra'!$D$8:$D$42))+1,""),ROW()-1234)),"")</f>
        <v>13</v>
      </c>
      <c r="B1247" s="85" t="str" cm="1">
        <f t="array" ref="B1247">IFERROR(INDEX('03.Muestra'!$C$8:$C$42,SMALL(IF("Página Web"='03.Muestra'!$D$8:$D$42,ROW('03.Muestra'!$C$8:$C$42)-MIN(ROW('03.Muestra'!$D$8:$D$42))+1,""),ROW()-1234)),"")</f>
        <v>Simulación método D'Hondt</v>
      </c>
      <c r="C1247" s="85" t="str" cm="1">
        <f t="array" ref="C1247">IFERROR(INDEX('03.Muestra'!$F$8:$F$42,SMALL(IF("Página Web"='03.Muestra'!$D$8:$D$42,ROW('03.Muestra'!$F$8:$F$42)-MIN(ROW('03.Muestra'!$D$8:$D$42))+1,""),ROW()-1234)),"")</f>
        <v>https://elecciones.comunidad.madrid/es/informacion-util/simulacion-metodo-dhondt</v>
      </c>
      <c r="D1247" s="99" t="s">
        <v>184</v>
      </c>
      <c r="E1247" s="79" t="str">
        <f t="shared" si="64"/>
        <v/>
      </c>
      <c r="F1247" s="18"/>
      <c r="G1247" s="18"/>
      <c r="H1247" s="18"/>
      <c r="I1247" s="18"/>
      <c r="J1247" s="18"/>
      <c r="K1247" s="184"/>
      <c r="L1247" s="18"/>
    </row>
    <row r="1248" spans="1:12" ht="12" customHeight="1">
      <c r="A1248" s="39" cm="1">
        <f t="array" ref="A1248">IFERROR(INDEX('03.Muestra'!$B$8:$B$42,SMALL(IF("Página Web"='03.Muestra'!$D$8:$D$42,ROW('03.Muestra'!$B$8:$B$42)-MIN(ROW('03.Muestra'!$D$8:$D$42))+1,""),ROW()-1234)),"")</f>
        <v>14</v>
      </c>
      <c r="B1248" s="85" t="str" cm="1">
        <f t="array" ref="B1248">IFERROR(INDEX('03.Muestra'!$C$8:$C$42,SMALL(IF("Página Web"='03.Muestra'!$D$8:$D$42,ROW('03.Muestra'!$C$8:$C$42)-MIN(ROW('03.Muestra'!$D$8:$D$42))+1,""),ROW()-1234)),"")</f>
        <v>Ley D'Hondt</v>
      </c>
      <c r="C1248" s="85" t="str" cm="1">
        <f t="array" ref="C1248">IFERROR(INDEX('03.Muestra'!$F$8:$F$42,SMALL(IF("Página Web"='03.Muestra'!$D$8:$D$42,ROW('03.Muestra'!$F$8:$F$42)-MIN(ROW('03.Muestra'!$D$8:$D$42))+1,""),ROW()-1234)),"")</f>
        <v>https://elecciones.comunidad.madrid/es/resultados/ley_d_hondt</v>
      </c>
      <c r="D1248" s="99" t="s">
        <v>184</v>
      </c>
      <c r="E1248" s="79" t="str">
        <f t="shared" si="64"/>
        <v/>
      </c>
      <c r="F1248" s="18"/>
      <c r="G1248" s="18"/>
      <c r="H1248" s="18"/>
      <c r="I1248" s="18"/>
      <c r="J1248" s="18"/>
      <c r="K1248" s="184"/>
      <c r="L1248" s="18"/>
    </row>
    <row r="1249" spans="1:12" ht="12" customHeight="1">
      <c r="A1249" s="39" cm="1">
        <f t="array" ref="A1249">IFERROR(INDEX('03.Muestra'!$B$8:$B$42,SMALL(IF("Página Web"='03.Muestra'!$D$8:$D$42,ROW('03.Muestra'!$B$8:$B$42)-MIN(ROW('03.Muestra'!$D$8:$D$42))+1,""),ROW()-1234)),"")</f>
        <v>15</v>
      </c>
      <c r="B1249" s="85" t="str" cm="1">
        <f t="array" ref="B1249">IFERROR(INDEX('03.Muestra'!$C$8:$C$42,SMALL(IF("Página Web"='03.Muestra'!$D$8:$D$42,ROW('03.Muestra'!$C$8:$C$42)-MIN(ROW('03.Muestra'!$D$8:$D$42))+1,""),ROW()-1234)),"")</f>
        <v>Voto por correo elector CERA en España</v>
      </c>
      <c r="C1249" s="85" t="str" cm="1">
        <f t="array" ref="C1249">IFERROR(INDEX('03.Muestra'!$F$8:$F$42,SMALL(IF("Página Web"='03.Muestra'!$D$8:$D$42,ROW('03.Muestra'!$F$8:$F$42)-MIN(ROW('03.Muestra'!$D$8:$D$42))+1,""),ROW()-1234)),"")</f>
        <v>https://elecciones.comunidad.madrid/es/preguntas-frecuentes/voto-correo-electores-residentes-extranjero</v>
      </c>
      <c r="D1249" s="99" t="s">
        <v>184</v>
      </c>
      <c r="E1249" s="79" t="str">
        <f t="shared" si="64"/>
        <v/>
      </c>
      <c r="F1249" s="18"/>
      <c r="G1249" s="18"/>
      <c r="H1249" s="18"/>
      <c r="I1249" s="18"/>
      <c r="J1249" s="18"/>
      <c r="K1249" s="184"/>
      <c r="L1249" s="18"/>
    </row>
    <row r="1250" spans="1:12" ht="12" customHeight="1">
      <c r="A1250" s="39" cm="1">
        <f t="array" ref="A1250">IFERROR(INDEX('03.Muestra'!$B$8:$B$42,SMALL(IF("Página Web"='03.Muestra'!$D$8:$D$42,ROW('03.Muestra'!$B$8:$B$42)-MIN(ROW('03.Muestra'!$D$8:$D$42))+1,""),ROW()-1234)),"")</f>
        <v>16</v>
      </c>
      <c r="B1250" s="85" t="str" cm="1">
        <f t="array" ref="B1250">IFERROR(INDEX('03.Muestra'!$C$8:$C$42,SMALL(IF("Página Web"='03.Muestra'!$D$8:$D$42,ROW('03.Muestra'!$C$8:$C$42)-MIN(ROW('03.Muestra'!$D$8:$D$42))+1,""),ROW()-1234)),"")</f>
        <v>Contacto</v>
      </c>
      <c r="C1250" s="85" t="str" cm="1">
        <f t="array" ref="C1250">IFERROR(INDEX('03.Muestra'!$F$8:$F$42,SMALL(IF("Página Web"='03.Muestra'!$D$8:$D$42,ROW('03.Muestra'!$F$8:$F$42)-MIN(ROW('03.Muestra'!$D$8:$D$42))+1,""),ROW()-1234)),"")</f>
        <v>https://elecciones.comunidad.madrid/es/buzon-de-sugerencias</v>
      </c>
      <c r="D1250" s="99" t="s">
        <v>184</v>
      </c>
      <c r="E1250" s="79" t="str">
        <f t="shared" si="64"/>
        <v/>
      </c>
      <c r="F1250" s="18"/>
      <c r="G1250" s="18"/>
      <c r="H1250" s="18"/>
      <c r="I1250" s="18"/>
      <c r="J1250" s="18"/>
      <c r="K1250" s="184"/>
      <c r="L1250" s="18"/>
    </row>
    <row r="1251" spans="1:12" ht="12" customHeight="1">
      <c r="A1251" s="39" cm="1">
        <f t="array" ref="A1251">IFERROR(INDEX('03.Muestra'!$B$8:$B$42,SMALL(IF("Página Web"='03.Muestra'!$D$8:$D$42,ROW('03.Muestra'!$B$8:$B$42)-MIN(ROW('03.Muestra'!$D$8:$D$42))+1,""),ROW()-1234)),"")</f>
        <v>17</v>
      </c>
      <c r="B1251" s="85" t="str" cm="1">
        <f t="array" ref="B1251">IFERROR(INDEX('03.Muestra'!$C$8:$C$42,SMALL(IF("Página Web"='03.Muestra'!$D$8:$D$42,ROW('03.Muestra'!$C$8:$C$42)-MIN(ROW('03.Muestra'!$D$8:$D$42))+1,""),ROW()-1234)),"")</f>
        <v>Buscador</v>
      </c>
      <c r="C1251" s="85" t="str" cm="1">
        <f t="array" ref="C1251">IFERROR(INDEX('03.Muestra'!$F$8:$F$42,SMALL(IF("Página Web"='03.Muestra'!$D$8:$D$42,ROW('03.Muestra'!$F$8:$F$42)-MIN(ROW('03.Muestra'!$D$8:$D$42))+1,""),ROW()-1234)),"")</f>
        <v>https://elecciones.comunidad.madrid/es/search?search_api_fulltext=partido</v>
      </c>
      <c r="D1251" s="99" t="s">
        <v>184</v>
      </c>
      <c r="E1251" s="79" t="str">
        <f t="shared" si="64"/>
        <v/>
      </c>
      <c r="F1251" s="18"/>
      <c r="G1251" s="18"/>
      <c r="H1251" s="18"/>
      <c r="I1251" s="18"/>
      <c r="J1251" s="18"/>
      <c r="K1251" s="184"/>
      <c r="L1251" s="18"/>
    </row>
    <row r="1252" spans="1:12" ht="12" customHeight="1">
      <c r="A1252" s="39" cm="1">
        <f t="array" ref="A1252">IFERROR(INDEX('03.Muestra'!$B$8:$B$42,SMALL(IF("Página Web"='03.Muestra'!$D$8:$D$42,ROW('03.Muestra'!$B$8:$B$42)-MIN(ROW('03.Muestra'!$D$8:$D$42))+1,""),ROW()-1234)),"")</f>
        <v>18</v>
      </c>
      <c r="B1252" s="85" t="str" cm="1">
        <f t="array" ref="B1252">IFERROR(INDEX('03.Muestra'!$C$8:$C$42,SMALL(IF("Página Web"='03.Muestra'!$D$8:$D$42,ROW('03.Muestra'!$C$8:$C$42)-MIN(ROW('03.Muestra'!$D$8:$D$42))+1,""),ROW()-1234)),"")</f>
        <v>Aviso Legal-Privacidad</v>
      </c>
      <c r="C1252" s="85" t="str" cm="1">
        <f t="array" ref="C1252">IFERROR(INDEX('03.Muestra'!$F$8:$F$42,SMALL(IF("Página Web"='03.Muestra'!$D$8:$D$42,ROW('03.Muestra'!$F$8:$F$42)-MIN(ROW('03.Muestra'!$D$8:$D$42))+1,""),ROW()-1234)),"")</f>
        <v>https://elecciones.comunidad.madrid/es/aviso-legal</v>
      </c>
      <c r="D1252" s="99" t="s">
        <v>184</v>
      </c>
      <c r="E1252" s="79" t="str">
        <f t="shared" si="64"/>
        <v/>
      </c>
      <c r="F1252" s="18"/>
      <c r="G1252" s="18"/>
      <c r="H1252" s="18"/>
      <c r="I1252" s="18"/>
      <c r="J1252" s="18"/>
      <c r="K1252" s="184"/>
      <c r="L1252" s="18"/>
    </row>
    <row r="1253" spans="1:12" ht="12" customHeight="1">
      <c r="A1253" s="39" cm="1">
        <f t="array" ref="A1253">IFERROR(INDEX('03.Muestra'!$B$8:$B$42,SMALL(IF("Página Web"='03.Muestra'!$D$8:$D$42,ROW('03.Muestra'!$B$8:$B$42)-MIN(ROW('03.Muestra'!$D$8:$D$42))+1,""),ROW()-1234)),"")</f>
        <v>19</v>
      </c>
      <c r="B1253" s="85" t="str" cm="1">
        <f t="array" ref="B1253">IFERROR(INDEX('03.Muestra'!$C$8:$C$42,SMALL(IF("Página Web"='03.Muestra'!$D$8:$D$42,ROW('03.Muestra'!$C$8:$C$42)-MIN(ROW('03.Muestra'!$D$8:$D$42))+1,""),ROW()-1234)),"")</f>
        <v>Mapa Web</v>
      </c>
      <c r="C1253" s="85" t="str" cm="1">
        <f t="array" ref="C1253">IFERROR(INDEX('03.Muestra'!$F$8:$F$42,SMALL(IF("Página Web"='03.Muestra'!$D$8:$D$42,ROW('03.Muestra'!$F$8:$F$42)-MIN(ROW('03.Muestra'!$D$8:$D$42))+1,""),ROW()-1234)),"")</f>
        <v>https://elecciones.comunidad.madrid/es/sitemap</v>
      </c>
      <c r="D1253" s="99" t="s">
        <v>184</v>
      </c>
      <c r="E1253" s="79" t="str">
        <f t="shared" si="64"/>
        <v/>
      </c>
      <c r="F1253" s="18"/>
      <c r="G1253" s="18"/>
      <c r="H1253" s="18"/>
      <c r="I1253" s="18"/>
      <c r="J1253" s="18"/>
      <c r="K1253" s="184"/>
      <c r="L1253" s="18"/>
    </row>
    <row r="1254" spans="1:12" ht="12" customHeight="1">
      <c r="A1254" s="39" cm="1">
        <f t="array" ref="A1254">IFERROR(INDEX('03.Muestra'!$B$8:$B$42,SMALL(IF("Página Web"='03.Muestra'!$D$8:$D$42,ROW('03.Muestra'!$B$8:$B$42)-MIN(ROW('03.Muestra'!$D$8:$D$42))+1,""),ROW()-1234)),"")</f>
        <v>20</v>
      </c>
      <c r="B1254" s="85" t="str" cm="1">
        <f t="array" ref="B1254">IFERROR(INDEX('03.Muestra'!$C$8:$C$42,SMALL(IF("Página Web"='03.Muestra'!$D$8:$D$42,ROW('03.Muestra'!$C$8:$C$42)-MIN(ROW('03.Muestra'!$D$8:$D$42))+1,""),ROW()-1234)),"")</f>
        <v>Declaracion Accesibilidad</v>
      </c>
      <c r="C1254" s="85" t="str" cm="1">
        <f t="array" ref="C1254">IFERROR(INDEX('03.Muestra'!$F$8:$F$42,SMALL(IF("Página Web"='03.Muestra'!$D$8:$D$42,ROW('03.Muestra'!$F$8:$F$42)-MIN(ROW('03.Muestra'!$D$8:$D$42))+1,""),ROW()-1234)),"")</f>
        <v>https://elecciones.comunidad.madrid/es/accesibilidad</v>
      </c>
      <c r="D1254" s="99" t="s">
        <v>184</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ref="D1255:D1269" si="65">IF(AND(B1255&lt;&gt;"",C1255&lt;&gt;""),"N/T","")</f>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181</v>
      </c>
      <c r="B1272" s="23" t="s">
        <v>173</v>
      </c>
      <c r="C1272" s="24" t="s">
        <v>257</v>
      </c>
      <c r="D1272" s="25" t="s">
        <v>183</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Inicio</v>
      </c>
      <c r="C1273" s="85" t="str" cm="1">
        <f t="array" ref="C1273">IFERROR(INDEX('03.Muestra'!$F$8:$F$42,SMALL(IF("Página Web"='03.Muestra'!$D$8:$D$42,ROW('03.Muestra'!$F$8:$F$42)-MIN(ROW('03.Muestra'!$D$8:$D$42))+1,""),ROW()-1272)),"")</f>
        <v>https://elecciones.comunidad.madrid/es</v>
      </c>
      <c r="D1273" s="99" t="s">
        <v>174</v>
      </c>
      <c r="E1273" s="79" t="str">
        <f t="shared" ref="E1273:E1307" si="66">IF(D1273&lt;&gt;"",IF(AND(B1273&lt;&gt;"",C1273&lt;&gt;""),"","ERR"),"")</f>
        <v/>
      </c>
      <c r="F1273" s="86" t="s">
        <v>185</v>
      </c>
      <c r="G1273" s="87" t="s">
        <v>186</v>
      </c>
      <c r="H1273" s="88" t="s">
        <v>184</v>
      </c>
      <c r="I1273" s="89" t="s">
        <v>176</v>
      </c>
      <c r="J1273" s="90" t="s">
        <v>174</v>
      </c>
      <c r="K1273" s="179" t="s">
        <v>180</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Resultado Elecciones 28M 2023</v>
      </c>
      <c r="C1274" s="85" t="str" cm="1">
        <f t="array" ref="C1274">IFERROR(INDEX('03.Muestra'!$F$8:$F$42,SMALL(IF("Página Web"='03.Muestra'!$D$8:$D$42,ROW('03.Muestra'!$F$8:$F$42)-MIN(ROW('03.Muestra'!$D$8:$D$42))+1,""),ROW()-1272)),"")</f>
        <v>https://elecciones.comunidad.madrid/es/resultados-elecciones-asamblea-madrid-28m-2023</v>
      </c>
      <c r="D1274" s="99" t="s">
        <v>174</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20</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Normativa electoral</v>
      </c>
      <c r="C1275" s="85" t="str" cm="1">
        <f t="array" ref="C1275">IFERROR(INDEX('03.Muestra'!$F$8:$F$42,SMALL(IF("Página Web"='03.Muestra'!$D$8:$D$42,ROW('03.Muestra'!$F$8:$F$42)-MIN(ROW('03.Muestra'!$D$8:$D$42))+1,""),ROW()-1272)),"")</f>
        <v>https://elecciones.comunidad.madrid/es/informacion-electoral/normativa-electoral</v>
      </c>
      <c r="D1275" s="99" t="s">
        <v>174</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Calendario electoral</v>
      </c>
      <c r="C1276" s="85" t="str" cm="1">
        <f t="array" ref="C1276">IFERROR(INDEX('03.Muestra'!$F$8:$F$42,SMALL(IF("Página Web"='03.Muestra'!$D$8:$D$42,ROW('03.Muestra'!$F$8:$F$42)-MIN(ROW('03.Muestra'!$D$8:$D$42))+1,""),ROW()-1272)),"")</f>
        <v>https://elecciones.comunidad.madrid/es/informacion-electoral/calendario-electoral</v>
      </c>
      <c r="D1276" s="99" t="s">
        <v>174</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Direcciones y teléfonos</v>
      </c>
      <c r="C1277" s="85" t="str" cm="1">
        <f t="array" ref="C1277">IFERROR(INDEX('03.Muestra'!$F$8:$F$42,SMALL(IF("Página Web"='03.Muestra'!$D$8:$D$42,ROW('03.Muestra'!$F$8:$F$42)-MIN(ROW('03.Muestra'!$D$8:$D$42))+1,""),ROW()-1272)),"")</f>
        <v>https://elecciones.comunidad.madrid/es/juntas-electorales/direcciones-telefonos</v>
      </c>
      <c r="D1277" s="99" t="s">
        <v>174</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Impresos electrónicos</v>
      </c>
      <c r="C1278" s="85" t="str" cm="1">
        <f t="array" ref="C1278">IFERROR(INDEX('03.Muestra'!$F$8:$F$42,SMALL(IF("Página Web"='03.Muestra'!$D$8:$D$42,ROW('03.Muestra'!$F$8:$F$42)-MIN(ROW('03.Muestra'!$D$8:$D$42))+1,""),ROW()-1272)),"")</f>
        <v>https://elecciones.comunidad.madrid/es/formaciones-politicas/impresos-electronicos</v>
      </c>
      <c r="D1278" s="99" t="s">
        <v>174</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Listado de candidaturas</v>
      </c>
      <c r="C1279" s="85" t="str" cm="1">
        <f t="array" ref="C1279">IFERROR(INDEX('03.Muestra'!$F$8:$F$42,SMALL(IF("Página Web"='03.Muestra'!$D$8:$D$42,ROW('03.Muestra'!$F$8:$F$42)-MIN(ROW('03.Muestra'!$D$8:$D$42))+1,""),ROW()-1272)),"")</f>
        <v>https://elecciones.comunidad.madrid/es/formaciones-politicas/listado-candidaturas-proclamadas</v>
      </c>
      <c r="D1279" s="99" t="s">
        <v>174</v>
      </c>
      <c r="E1279" s="79" t="str">
        <f t="shared" si="66"/>
        <v/>
      </c>
      <c r="F1279" s="18"/>
      <c r="G1279" s="18"/>
      <c r="H1279" s="18"/>
      <c r="I1279" s="18"/>
      <c r="J1279" s="18"/>
      <c r="K1279" s="184"/>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Partido Feminista de España</v>
      </c>
      <c r="C1280" s="85" t="str" cm="1">
        <f t="array" ref="C1280">IFERROR(INDEX('03.Muestra'!$F$8:$F$42,SMALL(IF("Página Web"='03.Muestra'!$D$8:$D$42,ROW('03.Muestra'!$F$8:$F$42)-MIN(ROW('03.Muestra'!$D$8:$D$42))+1,""),ROW()-1272)),"")</f>
        <v>https://elecciones.comunidad.madrid/es/formaciones-politicas/listado-candidaturas/partido-feminista-espana</v>
      </c>
      <c r="D1280" s="99" t="s">
        <v>174</v>
      </c>
      <c r="E1280" s="79" t="str">
        <f t="shared" si="66"/>
        <v/>
      </c>
      <c r="F1280" s="18"/>
      <c r="G1280" s="18"/>
      <c r="H1280" s="18"/>
      <c r="I1280" s="18"/>
      <c r="J1280" s="18"/>
      <c r="K1280" s="184"/>
    </row>
    <row r="1281" spans="1:12" ht="12" customHeight="1">
      <c r="A1281" s="39" cm="1">
        <f t="array" ref="A1281">IFERROR(INDEX('03.Muestra'!$B$8:$B$42,SMALL(IF("Página Web"='03.Muestra'!$D$8:$D$42,ROW('03.Muestra'!$B$8:$B$42)-MIN(ROW('03.Muestra'!$D$8:$D$42))+1,""),ROW()-1272)),"")</f>
        <v>9</v>
      </c>
      <c r="B1281" s="85" t="str" cm="1">
        <f t="array" ref="B1281">IFERROR(INDEX('03.Muestra'!$C$8:$C$42,SMALL(IF("Página Web"='03.Muestra'!$D$8:$D$42,ROW('03.Muestra'!$C$8:$C$42)-MIN(ROW('03.Muestra'!$D$8:$D$42))+1,""),ROW()-1272)),"")</f>
        <v>¿Dónde voto?</v>
      </c>
      <c r="C1281" s="85" t="str" cm="1">
        <f t="array" ref="C1281">IFERROR(INDEX('03.Muestra'!$F$8:$F$42,SMALL(IF("Página Web"='03.Muestra'!$D$8:$D$42,ROW('03.Muestra'!$F$8:$F$42)-MIN(ROW('03.Muestra'!$D$8:$D$42))+1,""),ROW()-1272)),"")</f>
        <v>https://elecciones.comunidad.madrid/es/votar/donde-voto</v>
      </c>
      <c r="D1281" s="99" t="s">
        <v>174</v>
      </c>
      <c r="E1281" s="79" t="str">
        <f t="shared" si="66"/>
        <v/>
      </c>
      <c r="F1281" s="18"/>
      <c r="G1281" s="18"/>
      <c r="H1281" s="18"/>
      <c r="I1281" s="18"/>
      <c r="J1281" s="18"/>
      <c r="K1281" s="184"/>
      <c r="L1281" s="18"/>
    </row>
    <row r="1282" spans="1:12" ht="12" customHeight="1">
      <c r="A1282" s="39" cm="1">
        <f t="array" ref="A1282">IFERROR(INDEX('03.Muestra'!$B$8:$B$42,SMALL(IF("Página Web"='03.Muestra'!$D$8:$D$42,ROW('03.Muestra'!$B$8:$B$42)-MIN(ROW('03.Muestra'!$D$8:$D$42))+1,""),ROW()-1272)),"")</f>
        <v>10</v>
      </c>
      <c r="B1282" s="85" t="str" cm="1">
        <f t="array" ref="B1282">IFERROR(INDEX('03.Muestra'!$C$8:$C$42,SMALL(IF("Página Web"='03.Muestra'!$D$8:$D$42,ROW('03.Muestra'!$C$8:$C$42)-MIN(ROW('03.Muestra'!$D$8:$D$42))+1,""),ROW()-1272)),"")</f>
        <v>Voto presencial</v>
      </c>
      <c r="C1282" s="85" t="str" cm="1">
        <f t="array" ref="C1282">IFERROR(INDEX('03.Muestra'!$F$8:$F$42,SMALL(IF("Página Web"='03.Muestra'!$D$8:$D$42,ROW('03.Muestra'!$F$8:$F$42)-MIN(ROW('03.Muestra'!$D$8:$D$42))+1,""),ROW()-1272)),"")</f>
        <v>https://elecciones.comunidad.madrid/es/voto-local-electoral/voto-presencial</v>
      </c>
      <c r="D1282" s="99" t="s">
        <v>174</v>
      </c>
      <c r="E1282" s="79" t="str">
        <f t="shared" si="66"/>
        <v/>
      </c>
      <c r="F1282" s="18"/>
      <c r="G1282" s="18"/>
      <c r="H1282" s="18"/>
      <c r="I1282" s="18"/>
      <c r="J1282" s="18"/>
      <c r="K1282" s="184"/>
      <c r="L1282" s="18"/>
    </row>
    <row r="1283" spans="1:12" ht="12" customHeight="1">
      <c r="A1283" s="39" cm="1">
        <f t="array" ref="A1283">IFERROR(INDEX('03.Muestra'!$B$8:$B$42,SMALL(IF("Página Web"='03.Muestra'!$D$8:$D$42,ROW('03.Muestra'!$B$8:$B$42)-MIN(ROW('03.Muestra'!$D$8:$D$42))+1,""),ROW()-1272)),"")</f>
        <v>11</v>
      </c>
      <c r="B1283" s="85" t="str" cm="1">
        <f t="array" ref="B1283">IFERROR(INDEX('03.Muestra'!$C$8:$C$42,SMALL(IF("Página Web"='03.Muestra'!$D$8:$D$42,ROW('03.Muestra'!$C$8:$C$42)-MIN(ROW('03.Muestra'!$D$8:$D$42))+1,""),ROW()-1272)),"")</f>
        <v>Ciudadanos temporalmente en el extranjero</v>
      </c>
      <c r="C1283" s="85" t="str" cm="1">
        <f t="array" ref="C1283">IFERROR(INDEX('03.Muestra'!$F$8:$F$42,SMALL(IF("Página Web"='03.Muestra'!$D$8:$D$42,ROW('03.Muestra'!$F$8:$F$42)-MIN(ROW('03.Muestra'!$D$8:$D$42))+1,""),ROW()-1272)),"")</f>
        <v>https://elecciones.comunidad.madrid/es/voto-correo/solicitud-voto-temporalmente-ausentes</v>
      </c>
      <c r="D1283" s="99" t="s">
        <v>174</v>
      </c>
      <c r="E1283" s="79" t="str">
        <f t="shared" si="66"/>
        <v/>
      </c>
      <c r="F1283" s="18"/>
      <c r="G1283" s="18"/>
      <c r="H1283" s="18"/>
      <c r="I1283" s="18"/>
      <c r="J1283" s="18"/>
      <c r="K1283" s="184"/>
      <c r="L1283" s="18"/>
    </row>
    <row r="1284" spans="1:12" ht="12" customHeight="1">
      <c r="A1284" s="39" cm="1">
        <f t="array" ref="A1284">IFERROR(INDEX('03.Muestra'!$B$8:$B$42,SMALL(IF("Página Web"='03.Muestra'!$D$8:$D$42,ROW('03.Muestra'!$B$8:$B$42)-MIN(ROW('03.Muestra'!$D$8:$D$42))+1,""),ROW()-1272)),"")</f>
        <v>12</v>
      </c>
      <c r="B1284" s="85" t="str" cm="1">
        <f t="array" ref="B1284">IFERROR(INDEX('03.Muestra'!$C$8:$C$42,SMALL(IF("Página Web"='03.Muestra'!$D$8:$D$42,ROW('03.Muestra'!$C$8:$C$42)-MIN(ROW('03.Muestra'!$D$8:$D$42))+1,""),ROW()-1272)),"")</f>
        <v>Nuevo votante</v>
      </c>
      <c r="C1284" s="85" t="str" cm="1">
        <f t="array" ref="C1284">IFERROR(INDEX('03.Muestra'!$F$8:$F$42,SMALL(IF("Página Web"='03.Muestra'!$D$8:$D$42,ROW('03.Muestra'!$F$8:$F$42)-MIN(ROW('03.Muestra'!$D$8:$D$42))+1,""),ROW()-1272)),"")</f>
        <v>https://elecciones.comunidad.madrid/es/votar/nuevo-votante</v>
      </c>
      <c r="D1284" s="99" t="s">
        <v>174</v>
      </c>
      <c r="E1284" s="79" t="str">
        <f t="shared" si="66"/>
        <v/>
      </c>
      <c r="F1284" s="18"/>
      <c r="G1284" s="18"/>
      <c r="H1284" s="18"/>
      <c r="I1284" s="18"/>
      <c r="J1284" s="18"/>
      <c r="K1284" s="184"/>
      <c r="L1284" s="18"/>
    </row>
    <row r="1285" spans="1:12" ht="12" customHeight="1">
      <c r="A1285" s="39" cm="1">
        <f t="array" ref="A1285">IFERROR(INDEX('03.Muestra'!$B$8:$B$42,SMALL(IF("Página Web"='03.Muestra'!$D$8:$D$42,ROW('03.Muestra'!$B$8:$B$42)-MIN(ROW('03.Muestra'!$D$8:$D$42))+1,""),ROW()-1272)),"")</f>
        <v>13</v>
      </c>
      <c r="B1285" s="85" t="str" cm="1">
        <f t="array" ref="B1285">IFERROR(INDEX('03.Muestra'!$C$8:$C$42,SMALL(IF("Página Web"='03.Muestra'!$D$8:$D$42,ROW('03.Muestra'!$C$8:$C$42)-MIN(ROW('03.Muestra'!$D$8:$D$42))+1,""),ROW()-1272)),"")</f>
        <v>Simulación método D'Hondt</v>
      </c>
      <c r="C1285" s="85" t="str" cm="1">
        <f t="array" ref="C1285">IFERROR(INDEX('03.Muestra'!$F$8:$F$42,SMALL(IF("Página Web"='03.Muestra'!$D$8:$D$42,ROW('03.Muestra'!$F$8:$F$42)-MIN(ROW('03.Muestra'!$D$8:$D$42))+1,""),ROW()-1272)),"")</f>
        <v>https://elecciones.comunidad.madrid/es/informacion-util/simulacion-metodo-dhondt</v>
      </c>
      <c r="D1285" s="99" t="s">
        <v>174</v>
      </c>
      <c r="E1285" s="79" t="str">
        <f t="shared" si="66"/>
        <v/>
      </c>
      <c r="F1285" s="18"/>
      <c r="G1285" s="18"/>
      <c r="H1285" s="18"/>
      <c r="I1285" s="18"/>
      <c r="J1285" s="18"/>
      <c r="K1285" s="184"/>
      <c r="L1285" s="18"/>
    </row>
    <row r="1286" spans="1:12" ht="12" customHeight="1">
      <c r="A1286" s="39" cm="1">
        <f t="array" ref="A1286">IFERROR(INDEX('03.Muestra'!$B$8:$B$42,SMALL(IF("Página Web"='03.Muestra'!$D$8:$D$42,ROW('03.Muestra'!$B$8:$B$42)-MIN(ROW('03.Muestra'!$D$8:$D$42))+1,""),ROW()-1272)),"")</f>
        <v>14</v>
      </c>
      <c r="B1286" s="85" t="str" cm="1">
        <f t="array" ref="B1286">IFERROR(INDEX('03.Muestra'!$C$8:$C$42,SMALL(IF("Página Web"='03.Muestra'!$D$8:$D$42,ROW('03.Muestra'!$C$8:$C$42)-MIN(ROW('03.Muestra'!$D$8:$D$42))+1,""),ROW()-1272)),"")</f>
        <v>Ley D'Hondt</v>
      </c>
      <c r="C1286" s="85" t="str" cm="1">
        <f t="array" ref="C1286">IFERROR(INDEX('03.Muestra'!$F$8:$F$42,SMALL(IF("Página Web"='03.Muestra'!$D$8:$D$42,ROW('03.Muestra'!$F$8:$F$42)-MIN(ROW('03.Muestra'!$D$8:$D$42))+1,""),ROW()-1272)),"")</f>
        <v>https://elecciones.comunidad.madrid/es/resultados/ley_d_hondt</v>
      </c>
      <c r="D1286" s="99" t="s">
        <v>174</v>
      </c>
      <c r="E1286" s="79" t="str">
        <f t="shared" si="66"/>
        <v/>
      </c>
      <c r="F1286" s="18"/>
      <c r="G1286" s="18"/>
      <c r="H1286" s="18"/>
      <c r="I1286" s="18"/>
      <c r="J1286" s="18"/>
      <c r="K1286" s="184"/>
      <c r="L1286" s="18"/>
    </row>
    <row r="1287" spans="1:12" ht="12" customHeight="1">
      <c r="A1287" s="39" cm="1">
        <f t="array" ref="A1287">IFERROR(INDEX('03.Muestra'!$B$8:$B$42,SMALL(IF("Página Web"='03.Muestra'!$D$8:$D$42,ROW('03.Muestra'!$B$8:$B$42)-MIN(ROW('03.Muestra'!$D$8:$D$42))+1,""),ROW()-1272)),"")</f>
        <v>15</v>
      </c>
      <c r="B1287" s="85" t="str" cm="1">
        <f t="array" ref="B1287">IFERROR(INDEX('03.Muestra'!$C$8:$C$42,SMALL(IF("Página Web"='03.Muestra'!$D$8:$D$42,ROW('03.Muestra'!$C$8:$C$42)-MIN(ROW('03.Muestra'!$D$8:$D$42))+1,""),ROW()-1272)),"")</f>
        <v>Voto por correo elector CERA en España</v>
      </c>
      <c r="C1287" s="85" t="str" cm="1">
        <f t="array" ref="C1287">IFERROR(INDEX('03.Muestra'!$F$8:$F$42,SMALL(IF("Página Web"='03.Muestra'!$D$8:$D$42,ROW('03.Muestra'!$F$8:$F$42)-MIN(ROW('03.Muestra'!$D$8:$D$42))+1,""),ROW()-1272)),"")</f>
        <v>https://elecciones.comunidad.madrid/es/preguntas-frecuentes/voto-correo-electores-residentes-extranjero</v>
      </c>
      <c r="D1287" s="99" t="s">
        <v>174</v>
      </c>
      <c r="E1287" s="79" t="str">
        <f t="shared" si="66"/>
        <v/>
      </c>
      <c r="F1287" s="18"/>
      <c r="G1287" s="18"/>
      <c r="H1287" s="18"/>
      <c r="I1287" s="18"/>
      <c r="J1287" s="18"/>
      <c r="K1287" s="184"/>
      <c r="L1287" s="18"/>
    </row>
    <row r="1288" spans="1:12" ht="12" customHeight="1">
      <c r="A1288" s="39" cm="1">
        <f t="array" ref="A1288">IFERROR(INDEX('03.Muestra'!$B$8:$B$42,SMALL(IF("Página Web"='03.Muestra'!$D$8:$D$42,ROW('03.Muestra'!$B$8:$B$42)-MIN(ROW('03.Muestra'!$D$8:$D$42))+1,""),ROW()-1272)),"")</f>
        <v>16</v>
      </c>
      <c r="B1288" s="85" t="str" cm="1">
        <f t="array" ref="B1288">IFERROR(INDEX('03.Muestra'!$C$8:$C$42,SMALL(IF("Página Web"='03.Muestra'!$D$8:$D$42,ROW('03.Muestra'!$C$8:$C$42)-MIN(ROW('03.Muestra'!$D$8:$D$42))+1,""),ROW()-1272)),"")</f>
        <v>Contacto</v>
      </c>
      <c r="C1288" s="85" t="str" cm="1">
        <f t="array" ref="C1288">IFERROR(INDEX('03.Muestra'!$F$8:$F$42,SMALL(IF("Página Web"='03.Muestra'!$D$8:$D$42,ROW('03.Muestra'!$F$8:$F$42)-MIN(ROW('03.Muestra'!$D$8:$D$42))+1,""),ROW()-1272)),"")</f>
        <v>https://elecciones.comunidad.madrid/es/buzon-de-sugerencias</v>
      </c>
      <c r="D1288" s="99" t="s">
        <v>174</v>
      </c>
      <c r="E1288" s="79" t="str">
        <f t="shared" si="66"/>
        <v/>
      </c>
      <c r="F1288" s="18"/>
      <c r="G1288" s="18"/>
      <c r="H1288" s="18"/>
      <c r="I1288" s="18"/>
      <c r="J1288" s="18"/>
      <c r="K1288" s="184"/>
      <c r="L1288" s="18"/>
    </row>
    <row r="1289" spans="1:12" ht="12" customHeight="1">
      <c r="A1289" s="39" cm="1">
        <f t="array" ref="A1289">IFERROR(INDEX('03.Muestra'!$B$8:$B$42,SMALL(IF("Página Web"='03.Muestra'!$D$8:$D$42,ROW('03.Muestra'!$B$8:$B$42)-MIN(ROW('03.Muestra'!$D$8:$D$42))+1,""),ROW()-1272)),"")</f>
        <v>17</v>
      </c>
      <c r="B1289" s="85" t="str" cm="1">
        <f t="array" ref="B1289">IFERROR(INDEX('03.Muestra'!$C$8:$C$42,SMALL(IF("Página Web"='03.Muestra'!$D$8:$D$42,ROW('03.Muestra'!$C$8:$C$42)-MIN(ROW('03.Muestra'!$D$8:$D$42))+1,""),ROW()-1272)),"")</f>
        <v>Buscador</v>
      </c>
      <c r="C1289" s="85" t="str" cm="1">
        <f t="array" ref="C1289">IFERROR(INDEX('03.Muestra'!$F$8:$F$42,SMALL(IF("Página Web"='03.Muestra'!$D$8:$D$42,ROW('03.Muestra'!$F$8:$F$42)-MIN(ROW('03.Muestra'!$D$8:$D$42))+1,""),ROW()-1272)),"")</f>
        <v>https://elecciones.comunidad.madrid/es/search?search_api_fulltext=partido</v>
      </c>
      <c r="D1289" s="99" t="s">
        <v>174</v>
      </c>
      <c r="E1289" s="79" t="str">
        <f t="shared" si="66"/>
        <v/>
      </c>
      <c r="F1289" s="18"/>
      <c r="G1289" s="18"/>
      <c r="H1289" s="18"/>
      <c r="I1289" s="18"/>
      <c r="J1289" s="18"/>
      <c r="K1289" s="184"/>
      <c r="L1289" s="18"/>
    </row>
    <row r="1290" spans="1:12" ht="12" customHeight="1">
      <c r="A1290" s="39" cm="1">
        <f t="array" ref="A1290">IFERROR(INDEX('03.Muestra'!$B$8:$B$42,SMALL(IF("Página Web"='03.Muestra'!$D$8:$D$42,ROW('03.Muestra'!$B$8:$B$42)-MIN(ROW('03.Muestra'!$D$8:$D$42))+1,""),ROW()-1272)),"")</f>
        <v>18</v>
      </c>
      <c r="B1290" s="85" t="str" cm="1">
        <f t="array" ref="B1290">IFERROR(INDEX('03.Muestra'!$C$8:$C$42,SMALL(IF("Página Web"='03.Muestra'!$D$8:$D$42,ROW('03.Muestra'!$C$8:$C$42)-MIN(ROW('03.Muestra'!$D$8:$D$42))+1,""),ROW()-1272)),"")</f>
        <v>Aviso Legal-Privacidad</v>
      </c>
      <c r="C1290" s="85" t="str" cm="1">
        <f t="array" ref="C1290">IFERROR(INDEX('03.Muestra'!$F$8:$F$42,SMALL(IF("Página Web"='03.Muestra'!$D$8:$D$42,ROW('03.Muestra'!$F$8:$F$42)-MIN(ROW('03.Muestra'!$D$8:$D$42))+1,""),ROW()-1272)),"")</f>
        <v>https://elecciones.comunidad.madrid/es/aviso-legal</v>
      </c>
      <c r="D1290" s="99" t="s">
        <v>174</v>
      </c>
      <c r="E1290" s="79" t="str">
        <f t="shared" si="66"/>
        <v/>
      </c>
      <c r="F1290" s="18"/>
      <c r="G1290" s="18"/>
      <c r="H1290" s="18"/>
      <c r="I1290" s="18"/>
      <c r="J1290" s="18"/>
      <c r="K1290" s="184"/>
      <c r="L1290" s="18"/>
    </row>
    <row r="1291" spans="1:12" ht="12" customHeight="1">
      <c r="A1291" s="39" cm="1">
        <f t="array" ref="A1291">IFERROR(INDEX('03.Muestra'!$B$8:$B$42,SMALL(IF("Página Web"='03.Muestra'!$D$8:$D$42,ROW('03.Muestra'!$B$8:$B$42)-MIN(ROW('03.Muestra'!$D$8:$D$42))+1,""),ROW()-1272)),"")</f>
        <v>19</v>
      </c>
      <c r="B1291" s="85" t="str" cm="1">
        <f t="array" ref="B1291">IFERROR(INDEX('03.Muestra'!$C$8:$C$42,SMALL(IF("Página Web"='03.Muestra'!$D$8:$D$42,ROW('03.Muestra'!$C$8:$C$42)-MIN(ROW('03.Muestra'!$D$8:$D$42))+1,""),ROW()-1272)),"")</f>
        <v>Mapa Web</v>
      </c>
      <c r="C1291" s="85" t="str" cm="1">
        <f t="array" ref="C1291">IFERROR(INDEX('03.Muestra'!$F$8:$F$42,SMALL(IF("Página Web"='03.Muestra'!$D$8:$D$42,ROW('03.Muestra'!$F$8:$F$42)-MIN(ROW('03.Muestra'!$D$8:$D$42))+1,""),ROW()-1272)),"")</f>
        <v>https://elecciones.comunidad.madrid/es/sitemap</v>
      </c>
      <c r="D1291" s="99" t="s">
        <v>174</v>
      </c>
      <c r="E1291" s="79" t="str">
        <f t="shared" si="66"/>
        <v/>
      </c>
      <c r="F1291" s="18"/>
      <c r="G1291" s="18"/>
      <c r="H1291" s="18"/>
      <c r="I1291" s="18"/>
      <c r="J1291" s="18"/>
      <c r="K1291" s="184"/>
      <c r="L1291" s="18"/>
    </row>
    <row r="1292" spans="1:12" ht="12" customHeight="1">
      <c r="A1292" s="39" cm="1">
        <f t="array" ref="A1292">IFERROR(INDEX('03.Muestra'!$B$8:$B$42,SMALL(IF("Página Web"='03.Muestra'!$D$8:$D$42,ROW('03.Muestra'!$B$8:$B$42)-MIN(ROW('03.Muestra'!$D$8:$D$42))+1,""),ROW()-1272)),"")</f>
        <v>20</v>
      </c>
      <c r="B1292" s="85" t="str" cm="1">
        <f t="array" ref="B1292">IFERROR(INDEX('03.Muestra'!$C$8:$C$42,SMALL(IF("Página Web"='03.Muestra'!$D$8:$D$42,ROW('03.Muestra'!$C$8:$C$42)-MIN(ROW('03.Muestra'!$D$8:$D$42))+1,""),ROW()-1272)),"")</f>
        <v>Declaracion Accesibilidad</v>
      </c>
      <c r="C1292" s="85" t="str" cm="1">
        <f t="array" ref="C1292">IFERROR(INDEX('03.Muestra'!$F$8:$F$42,SMALL(IF("Página Web"='03.Muestra'!$D$8:$D$42,ROW('03.Muestra'!$F$8:$F$42)-MIN(ROW('03.Muestra'!$D$8:$D$42))+1,""),ROW()-1272)),"")</f>
        <v>https://elecciones.comunidad.madrid/es/accesibilidad</v>
      </c>
      <c r="D1292" s="99" t="s">
        <v>174</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ref="D1293:D1307" si="67">IF(AND(B1293&lt;&gt;"",C1293&lt;&gt;""),"N/T","")</f>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181</v>
      </c>
      <c r="B1310" s="23" t="s">
        <v>173</v>
      </c>
      <c r="C1310" s="24" t="s">
        <v>258</v>
      </c>
      <c r="D1310" s="25" t="s">
        <v>183</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Inicio</v>
      </c>
      <c r="C1311" s="85" t="str" cm="1">
        <f t="array" ref="C1311">IFERROR(INDEX('03.Muestra'!$F$8:$F$42,SMALL(IF("Página Web"='03.Muestra'!$D$8:$D$42,ROW('03.Muestra'!$F$8:$F$42)-MIN(ROW('03.Muestra'!$D$8:$D$42))+1,""),ROW()-1310)),"")</f>
        <v>https://elecciones.comunidad.madrid/es</v>
      </c>
      <c r="D1311" s="99" t="s">
        <v>176</v>
      </c>
      <c r="E1311" s="79" t="str">
        <f t="shared" ref="E1311:E1345" si="68">IF(D1311&lt;&gt;"",IF(AND(B1311&lt;&gt;"",C1311&lt;&gt;""),"","ERR"),"")</f>
        <v/>
      </c>
      <c r="F1311" s="86" t="s">
        <v>185</v>
      </c>
      <c r="G1311" s="87" t="s">
        <v>186</v>
      </c>
      <c r="H1311" s="88" t="s">
        <v>184</v>
      </c>
      <c r="I1311" s="89" t="s">
        <v>176</v>
      </c>
      <c r="J1311" s="90" t="s">
        <v>174</v>
      </c>
      <c r="K1311" s="179" t="s">
        <v>180</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Resultado Elecciones 28M 2023</v>
      </c>
      <c r="C1312" s="85" t="str" cm="1">
        <f t="array" ref="C1312">IFERROR(INDEX('03.Muestra'!$F$8:$F$42,SMALL(IF("Página Web"='03.Muestra'!$D$8:$D$42,ROW('03.Muestra'!$F$8:$F$42)-MIN(ROW('03.Muestra'!$D$8:$D$42))+1,""),ROW()-1310)),"")</f>
        <v>https://elecciones.comunidad.madrid/es/resultados-elecciones-asamblea-madrid-28m-2023</v>
      </c>
      <c r="D1312" s="99" t="s">
        <v>176</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20</v>
      </c>
      <c r="J1312" s="91">
        <f ca="1">COUNTIF($D1311:INDIRECT("$D" &amp;  SUM(ROW()-1,'03.Muestra'!$D$45)-1),J1311)</f>
        <v>0</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Normativa electoral</v>
      </c>
      <c r="C1313" s="85" t="str" cm="1">
        <f t="array" ref="C1313">IFERROR(INDEX('03.Muestra'!$F$8:$F$42,SMALL(IF("Página Web"='03.Muestra'!$D$8:$D$42,ROW('03.Muestra'!$F$8:$F$42)-MIN(ROW('03.Muestra'!$D$8:$D$42))+1,""),ROW()-1310)),"")</f>
        <v>https://elecciones.comunidad.madrid/es/informacion-electoral/normativa-electoral</v>
      </c>
      <c r="D1313" s="99" t="s">
        <v>176</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Calendario electoral</v>
      </c>
      <c r="C1314" s="85" t="str" cm="1">
        <f t="array" ref="C1314">IFERROR(INDEX('03.Muestra'!$F$8:$F$42,SMALL(IF("Página Web"='03.Muestra'!$D$8:$D$42,ROW('03.Muestra'!$F$8:$F$42)-MIN(ROW('03.Muestra'!$D$8:$D$42))+1,""),ROW()-1310)),"")</f>
        <v>https://elecciones.comunidad.madrid/es/informacion-electoral/calendario-electoral</v>
      </c>
      <c r="D1314" s="99" t="s">
        <v>176</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Direcciones y teléfonos</v>
      </c>
      <c r="C1315" s="85" t="str" cm="1">
        <f t="array" ref="C1315">IFERROR(INDEX('03.Muestra'!$F$8:$F$42,SMALL(IF("Página Web"='03.Muestra'!$D$8:$D$42,ROW('03.Muestra'!$F$8:$F$42)-MIN(ROW('03.Muestra'!$D$8:$D$42))+1,""),ROW()-1310)),"")</f>
        <v>https://elecciones.comunidad.madrid/es/juntas-electorales/direcciones-telefonos</v>
      </c>
      <c r="D1315" s="99" t="s">
        <v>176</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Impresos electrónicos</v>
      </c>
      <c r="C1316" s="85" t="str" cm="1">
        <f t="array" ref="C1316">IFERROR(INDEX('03.Muestra'!$F$8:$F$42,SMALL(IF("Página Web"='03.Muestra'!$D$8:$D$42,ROW('03.Muestra'!$F$8:$F$42)-MIN(ROW('03.Muestra'!$D$8:$D$42))+1,""),ROW()-1310)),"")</f>
        <v>https://elecciones.comunidad.madrid/es/formaciones-politicas/impresos-electronicos</v>
      </c>
      <c r="D1316" s="99" t="s">
        <v>176</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Listado de candidaturas</v>
      </c>
      <c r="C1317" s="85" t="str" cm="1">
        <f t="array" ref="C1317">IFERROR(INDEX('03.Muestra'!$F$8:$F$42,SMALL(IF("Página Web"='03.Muestra'!$D$8:$D$42,ROW('03.Muestra'!$F$8:$F$42)-MIN(ROW('03.Muestra'!$D$8:$D$42))+1,""),ROW()-1310)),"")</f>
        <v>https://elecciones.comunidad.madrid/es/formaciones-politicas/listado-candidaturas-proclamadas</v>
      </c>
      <c r="D1317" s="99" t="s">
        <v>176</v>
      </c>
      <c r="E1317" s="79" t="str">
        <f t="shared" si="68"/>
        <v/>
      </c>
      <c r="F1317" s="18"/>
      <c r="G1317" s="18"/>
      <c r="H1317" s="18"/>
      <c r="I1317" s="18"/>
      <c r="J1317" s="18"/>
      <c r="K1317" s="184"/>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Partido Feminista de España</v>
      </c>
      <c r="C1318" s="85" t="str" cm="1">
        <f t="array" ref="C1318">IFERROR(INDEX('03.Muestra'!$F$8:$F$42,SMALL(IF("Página Web"='03.Muestra'!$D$8:$D$42,ROW('03.Muestra'!$F$8:$F$42)-MIN(ROW('03.Muestra'!$D$8:$D$42))+1,""),ROW()-1310)),"")</f>
        <v>https://elecciones.comunidad.madrid/es/formaciones-politicas/listado-candidaturas/partido-feminista-espana</v>
      </c>
      <c r="D1318" s="99" t="s">
        <v>176</v>
      </c>
      <c r="E1318" s="79" t="str">
        <f t="shared" si="68"/>
        <v/>
      </c>
      <c r="F1318" s="18"/>
      <c r="G1318" s="18"/>
      <c r="H1318" s="18"/>
      <c r="I1318" s="18"/>
      <c r="J1318" s="18"/>
      <c r="K1318" s="184"/>
      <c r="L1318" s="18"/>
    </row>
    <row r="1319" spans="1:12" ht="12" customHeight="1">
      <c r="A1319" s="39" cm="1">
        <f t="array" ref="A1319">IFERROR(INDEX('03.Muestra'!$B$8:$B$42,SMALL(IF("Página Web"='03.Muestra'!$D$8:$D$42,ROW('03.Muestra'!$B$8:$B$42)-MIN(ROW('03.Muestra'!$D$8:$D$42))+1,""),ROW()-1310)),"")</f>
        <v>9</v>
      </c>
      <c r="B1319" s="85" t="str" cm="1">
        <f t="array" ref="B1319">IFERROR(INDEX('03.Muestra'!$C$8:$C$42,SMALL(IF("Página Web"='03.Muestra'!$D$8:$D$42,ROW('03.Muestra'!$C$8:$C$42)-MIN(ROW('03.Muestra'!$D$8:$D$42))+1,""),ROW()-1310)),"")</f>
        <v>¿Dónde voto?</v>
      </c>
      <c r="C1319" s="85" t="str" cm="1">
        <f t="array" ref="C1319">IFERROR(INDEX('03.Muestra'!$F$8:$F$42,SMALL(IF("Página Web"='03.Muestra'!$D$8:$D$42,ROW('03.Muestra'!$F$8:$F$42)-MIN(ROW('03.Muestra'!$D$8:$D$42))+1,""),ROW()-1310)),"")</f>
        <v>https://elecciones.comunidad.madrid/es/votar/donde-voto</v>
      </c>
      <c r="D1319" s="99" t="s">
        <v>176</v>
      </c>
      <c r="E1319" s="79" t="str">
        <f t="shared" si="68"/>
        <v/>
      </c>
      <c r="F1319" s="18"/>
      <c r="G1319" s="18"/>
      <c r="H1319" s="18"/>
      <c r="I1319" s="18"/>
      <c r="J1319" s="18"/>
      <c r="K1319" s="184"/>
      <c r="L1319" s="18"/>
    </row>
    <row r="1320" spans="1:12" ht="12" customHeight="1">
      <c r="A1320" s="39" cm="1">
        <f t="array" ref="A1320">IFERROR(INDEX('03.Muestra'!$B$8:$B$42,SMALL(IF("Página Web"='03.Muestra'!$D$8:$D$42,ROW('03.Muestra'!$B$8:$B$42)-MIN(ROW('03.Muestra'!$D$8:$D$42))+1,""),ROW()-1310)),"")</f>
        <v>10</v>
      </c>
      <c r="B1320" s="85" t="str" cm="1">
        <f t="array" ref="B1320">IFERROR(INDEX('03.Muestra'!$C$8:$C$42,SMALL(IF("Página Web"='03.Muestra'!$D$8:$D$42,ROW('03.Muestra'!$C$8:$C$42)-MIN(ROW('03.Muestra'!$D$8:$D$42))+1,""),ROW()-1310)),"")</f>
        <v>Voto presencial</v>
      </c>
      <c r="C1320" s="85" t="str" cm="1">
        <f t="array" ref="C1320">IFERROR(INDEX('03.Muestra'!$F$8:$F$42,SMALL(IF("Página Web"='03.Muestra'!$D$8:$D$42,ROW('03.Muestra'!$F$8:$F$42)-MIN(ROW('03.Muestra'!$D$8:$D$42))+1,""),ROW()-1310)),"")</f>
        <v>https://elecciones.comunidad.madrid/es/voto-local-electoral/voto-presencial</v>
      </c>
      <c r="D1320" s="99" t="s">
        <v>176</v>
      </c>
      <c r="E1320" s="79" t="str">
        <f t="shared" si="68"/>
        <v/>
      </c>
      <c r="F1320" s="18"/>
      <c r="G1320" s="18"/>
      <c r="H1320" s="18"/>
      <c r="I1320" s="18"/>
      <c r="J1320" s="18"/>
      <c r="K1320" s="184"/>
      <c r="L1320" s="18"/>
    </row>
    <row r="1321" spans="1:12" ht="12" customHeight="1">
      <c r="A1321" s="39" cm="1">
        <f t="array" ref="A1321">IFERROR(INDEX('03.Muestra'!$B$8:$B$42,SMALL(IF("Página Web"='03.Muestra'!$D$8:$D$42,ROW('03.Muestra'!$B$8:$B$42)-MIN(ROW('03.Muestra'!$D$8:$D$42))+1,""),ROW()-1310)),"")</f>
        <v>11</v>
      </c>
      <c r="B1321" s="85" t="str" cm="1">
        <f t="array" ref="B1321">IFERROR(INDEX('03.Muestra'!$C$8:$C$42,SMALL(IF("Página Web"='03.Muestra'!$D$8:$D$42,ROW('03.Muestra'!$C$8:$C$42)-MIN(ROW('03.Muestra'!$D$8:$D$42))+1,""),ROW()-1310)),"")</f>
        <v>Ciudadanos temporalmente en el extranjero</v>
      </c>
      <c r="C1321" s="85" t="str" cm="1">
        <f t="array" ref="C1321">IFERROR(INDEX('03.Muestra'!$F$8:$F$42,SMALL(IF("Página Web"='03.Muestra'!$D$8:$D$42,ROW('03.Muestra'!$F$8:$F$42)-MIN(ROW('03.Muestra'!$D$8:$D$42))+1,""),ROW()-1310)),"")</f>
        <v>https://elecciones.comunidad.madrid/es/voto-correo/solicitud-voto-temporalmente-ausentes</v>
      </c>
      <c r="D1321" s="99" t="s">
        <v>176</v>
      </c>
      <c r="E1321" s="79" t="str">
        <f t="shared" si="68"/>
        <v/>
      </c>
      <c r="F1321" s="18"/>
      <c r="G1321" s="18"/>
      <c r="H1321" s="18"/>
      <c r="I1321" s="18"/>
      <c r="J1321" s="18"/>
      <c r="K1321" s="184"/>
      <c r="L1321" s="18"/>
    </row>
    <row r="1322" spans="1:12" ht="12" customHeight="1">
      <c r="A1322" s="39" cm="1">
        <f t="array" ref="A1322">IFERROR(INDEX('03.Muestra'!$B$8:$B$42,SMALL(IF("Página Web"='03.Muestra'!$D$8:$D$42,ROW('03.Muestra'!$B$8:$B$42)-MIN(ROW('03.Muestra'!$D$8:$D$42))+1,""),ROW()-1310)),"")</f>
        <v>12</v>
      </c>
      <c r="B1322" s="85" t="str" cm="1">
        <f t="array" ref="B1322">IFERROR(INDEX('03.Muestra'!$C$8:$C$42,SMALL(IF("Página Web"='03.Muestra'!$D$8:$D$42,ROW('03.Muestra'!$C$8:$C$42)-MIN(ROW('03.Muestra'!$D$8:$D$42))+1,""),ROW()-1310)),"")</f>
        <v>Nuevo votante</v>
      </c>
      <c r="C1322" s="85" t="str" cm="1">
        <f t="array" ref="C1322">IFERROR(INDEX('03.Muestra'!$F$8:$F$42,SMALL(IF("Página Web"='03.Muestra'!$D$8:$D$42,ROW('03.Muestra'!$F$8:$F$42)-MIN(ROW('03.Muestra'!$D$8:$D$42))+1,""),ROW()-1310)),"")</f>
        <v>https://elecciones.comunidad.madrid/es/votar/nuevo-votante</v>
      </c>
      <c r="D1322" s="99" t="s">
        <v>176</v>
      </c>
      <c r="E1322" s="79" t="str">
        <f t="shared" si="68"/>
        <v/>
      </c>
      <c r="F1322" s="18"/>
      <c r="G1322" s="18"/>
      <c r="H1322" s="18"/>
      <c r="I1322" s="18"/>
      <c r="J1322" s="18"/>
      <c r="K1322" s="184"/>
      <c r="L1322" s="18"/>
    </row>
    <row r="1323" spans="1:12" ht="12" customHeight="1">
      <c r="A1323" s="39" cm="1">
        <f t="array" ref="A1323">IFERROR(INDEX('03.Muestra'!$B$8:$B$42,SMALL(IF("Página Web"='03.Muestra'!$D$8:$D$42,ROW('03.Muestra'!$B$8:$B$42)-MIN(ROW('03.Muestra'!$D$8:$D$42))+1,""),ROW()-1310)),"")</f>
        <v>13</v>
      </c>
      <c r="B1323" s="85" t="str" cm="1">
        <f t="array" ref="B1323">IFERROR(INDEX('03.Muestra'!$C$8:$C$42,SMALL(IF("Página Web"='03.Muestra'!$D$8:$D$42,ROW('03.Muestra'!$C$8:$C$42)-MIN(ROW('03.Muestra'!$D$8:$D$42))+1,""),ROW()-1310)),"")</f>
        <v>Simulación método D'Hondt</v>
      </c>
      <c r="C1323" s="85" t="str" cm="1">
        <f t="array" ref="C1323">IFERROR(INDEX('03.Muestra'!$F$8:$F$42,SMALL(IF("Página Web"='03.Muestra'!$D$8:$D$42,ROW('03.Muestra'!$F$8:$F$42)-MIN(ROW('03.Muestra'!$D$8:$D$42))+1,""),ROW()-1310)),"")</f>
        <v>https://elecciones.comunidad.madrid/es/informacion-util/simulacion-metodo-dhondt</v>
      </c>
      <c r="D1323" s="99" t="s">
        <v>176</v>
      </c>
      <c r="E1323" s="79" t="str">
        <f t="shared" si="68"/>
        <v/>
      </c>
      <c r="F1323" s="18"/>
      <c r="G1323" s="18"/>
      <c r="H1323" s="18"/>
      <c r="I1323" s="18"/>
      <c r="J1323" s="18"/>
      <c r="K1323" s="184"/>
      <c r="L1323" s="18"/>
    </row>
    <row r="1324" spans="1:12" ht="12" customHeight="1">
      <c r="A1324" s="39" cm="1">
        <f t="array" ref="A1324">IFERROR(INDEX('03.Muestra'!$B$8:$B$42,SMALL(IF("Página Web"='03.Muestra'!$D$8:$D$42,ROW('03.Muestra'!$B$8:$B$42)-MIN(ROW('03.Muestra'!$D$8:$D$42))+1,""),ROW()-1310)),"")</f>
        <v>14</v>
      </c>
      <c r="B1324" s="85" t="str" cm="1">
        <f t="array" ref="B1324">IFERROR(INDEX('03.Muestra'!$C$8:$C$42,SMALL(IF("Página Web"='03.Muestra'!$D$8:$D$42,ROW('03.Muestra'!$C$8:$C$42)-MIN(ROW('03.Muestra'!$D$8:$D$42))+1,""),ROW()-1310)),"")</f>
        <v>Ley D'Hondt</v>
      </c>
      <c r="C1324" s="85" t="str" cm="1">
        <f t="array" ref="C1324">IFERROR(INDEX('03.Muestra'!$F$8:$F$42,SMALL(IF("Página Web"='03.Muestra'!$D$8:$D$42,ROW('03.Muestra'!$F$8:$F$42)-MIN(ROW('03.Muestra'!$D$8:$D$42))+1,""),ROW()-1310)),"")</f>
        <v>https://elecciones.comunidad.madrid/es/resultados/ley_d_hondt</v>
      </c>
      <c r="D1324" s="99" t="s">
        <v>176</v>
      </c>
      <c r="E1324" s="79" t="str">
        <f t="shared" si="68"/>
        <v/>
      </c>
      <c r="F1324" s="18"/>
      <c r="G1324" s="18"/>
      <c r="H1324" s="18"/>
      <c r="I1324" s="18"/>
      <c r="J1324" s="18"/>
      <c r="K1324" s="184"/>
      <c r="L1324" s="18"/>
    </row>
    <row r="1325" spans="1:12" ht="12" customHeight="1">
      <c r="A1325" s="39" cm="1">
        <f t="array" ref="A1325">IFERROR(INDEX('03.Muestra'!$B$8:$B$42,SMALL(IF("Página Web"='03.Muestra'!$D$8:$D$42,ROW('03.Muestra'!$B$8:$B$42)-MIN(ROW('03.Muestra'!$D$8:$D$42))+1,""),ROW()-1310)),"")</f>
        <v>15</v>
      </c>
      <c r="B1325" s="85" t="str" cm="1">
        <f t="array" ref="B1325">IFERROR(INDEX('03.Muestra'!$C$8:$C$42,SMALL(IF("Página Web"='03.Muestra'!$D$8:$D$42,ROW('03.Muestra'!$C$8:$C$42)-MIN(ROW('03.Muestra'!$D$8:$D$42))+1,""),ROW()-1310)),"")</f>
        <v>Voto por correo elector CERA en España</v>
      </c>
      <c r="C1325" s="85" t="str" cm="1">
        <f t="array" ref="C1325">IFERROR(INDEX('03.Muestra'!$F$8:$F$42,SMALL(IF("Página Web"='03.Muestra'!$D$8:$D$42,ROW('03.Muestra'!$F$8:$F$42)-MIN(ROW('03.Muestra'!$D$8:$D$42))+1,""),ROW()-1310)),"")</f>
        <v>https://elecciones.comunidad.madrid/es/preguntas-frecuentes/voto-correo-electores-residentes-extranjero</v>
      </c>
      <c r="D1325" s="99" t="s">
        <v>176</v>
      </c>
      <c r="E1325" s="79" t="str">
        <f t="shared" si="68"/>
        <v/>
      </c>
      <c r="F1325" s="18"/>
      <c r="G1325" s="18"/>
      <c r="H1325" s="18"/>
      <c r="I1325" s="18"/>
      <c r="J1325" s="18"/>
      <c r="K1325" s="184"/>
      <c r="L1325" s="18"/>
    </row>
    <row r="1326" spans="1:12" ht="12" customHeight="1">
      <c r="A1326" s="39" cm="1">
        <f t="array" ref="A1326">IFERROR(INDEX('03.Muestra'!$B$8:$B$42,SMALL(IF("Página Web"='03.Muestra'!$D$8:$D$42,ROW('03.Muestra'!$B$8:$B$42)-MIN(ROW('03.Muestra'!$D$8:$D$42))+1,""),ROW()-1310)),"")</f>
        <v>16</v>
      </c>
      <c r="B1326" s="85" t="str" cm="1">
        <f t="array" ref="B1326">IFERROR(INDEX('03.Muestra'!$C$8:$C$42,SMALL(IF("Página Web"='03.Muestra'!$D$8:$D$42,ROW('03.Muestra'!$C$8:$C$42)-MIN(ROW('03.Muestra'!$D$8:$D$42))+1,""),ROW()-1310)),"")</f>
        <v>Contacto</v>
      </c>
      <c r="C1326" s="85" t="str" cm="1">
        <f t="array" ref="C1326">IFERROR(INDEX('03.Muestra'!$F$8:$F$42,SMALL(IF("Página Web"='03.Muestra'!$D$8:$D$42,ROW('03.Muestra'!$F$8:$F$42)-MIN(ROW('03.Muestra'!$D$8:$D$42))+1,""),ROW()-1310)),"")</f>
        <v>https://elecciones.comunidad.madrid/es/buzon-de-sugerencias</v>
      </c>
      <c r="D1326" s="99" t="s">
        <v>176</v>
      </c>
      <c r="E1326" s="79" t="str">
        <f t="shared" si="68"/>
        <v/>
      </c>
      <c r="F1326" s="18"/>
      <c r="G1326" s="18"/>
      <c r="H1326" s="18"/>
      <c r="I1326" s="18"/>
      <c r="J1326" s="18"/>
      <c r="K1326" s="184"/>
      <c r="L1326" s="18"/>
    </row>
    <row r="1327" spans="1:12" ht="12" customHeight="1">
      <c r="A1327" s="39" cm="1">
        <f t="array" ref="A1327">IFERROR(INDEX('03.Muestra'!$B$8:$B$42,SMALL(IF("Página Web"='03.Muestra'!$D$8:$D$42,ROW('03.Muestra'!$B$8:$B$42)-MIN(ROW('03.Muestra'!$D$8:$D$42))+1,""),ROW()-1310)),"")</f>
        <v>17</v>
      </c>
      <c r="B1327" s="85" t="str" cm="1">
        <f t="array" ref="B1327">IFERROR(INDEX('03.Muestra'!$C$8:$C$42,SMALL(IF("Página Web"='03.Muestra'!$D$8:$D$42,ROW('03.Muestra'!$C$8:$C$42)-MIN(ROW('03.Muestra'!$D$8:$D$42))+1,""),ROW()-1310)),"")</f>
        <v>Buscador</v>
      </c>
      <c r="C1327" s="85" t="str" cm="1">
        <f t="array" ref="C1327">IFERROR(INDEX('03.Muestra'!$F$8:$F$42,SMALL(IF("Página Web"='03.Muestra'!$D$8:$D$42,ROW('03.Muestra'!$F$8:$F$42)-MIN(ROW('03.Muestra'!$D$8:$D$42))+1,""),ROW()-1310)),"")</f>
        <v>https://elecciones.comunidad.madrid/es/search?search_api_fulltext=partido</v>
      </c>
      <c r="D1327" s="99" t="s">
        <v>176</v>
      </c>
      <c r="E1327" s="79" t="str">
        <f t="shared" si="68"/>
        <v/>
      </c>
      <c r="F1327" s="18"/>
      <c r="G1327" s="18"/>
      <c r="H1327" s="18"/>
      <c r="I1327" s="18"/>
      <c r="J1327" s="18"/>
      <c r="K1327" s="184"/>
      <c r="L1327" s="18"/>
    </row>
    <row r="1328" spans="1:12" ht="12" customHeight="1">
      <c r="A1328" s="39" cm="1">
        <f t="array" ref="A1328">IFERROR(INDEX('03.Muestra'!$B$8:$B$42,SMALL(IF("Página Web"='03.Muestra'!$D$8:$D$42,ROW('03.Muestra'!$B$8:$B$42)-MIN(ROW('03.Muestra'!$D$8:$D$42))+1,""),ROW()-1310)),"")</f>
        <v>18</v>
      </c>
      <c r="B1328" s="85" t="str" cm="1">
        <f t="array" ref="B1328">IFERROR(INDEX('03.Muestra'!$C$8:$C$42,SMALL(IF("Página Web"='03.Muestra'!$D$8:$D$42,ROW('03.Muestra'!$C$8:$C$42)-MIN(ROW('03.Muestra'!$D$8:$D$42))+1,""),ROW()-1310)),"")</f>
        <v>Aviso Legal-Privacidad</v>
      </c>
      <c r="C1328" s="85" t="str" cm="1">
        <f t="array" ref="C1328">IFERROR(INDEX('03.Muestra'!$F$8:$F$42,SMALL(IF("Página Web"='03.Muestra'!$D$8:$D$42,ROW('03.Muestra'!$F$8:$F$42)-MIN(ROW('03.Muestra'!$D$8:$D$42))+1,""),ROW()-1310)),"")</f>
        <v>https://elecciones.comunidad.madrid/es/aviso-legal</v>
      </c>
      <c r="D1328" s="99" t="s">
        <v>176</v>
      </c>
      <c r="E1328" s="79" t="str">
        <f t="shared" si="68"/>
        <v/>
      </c>
      <c r="F1328" s="18"/>
      <c r="G1328" s="18"/>
      <c r="H1328" s="18"/>
      <c r="I1328" s="18"/>
      <c r="J1328" s="18"/>
      <c r="K1328" s="184"/>
      <c r="L1328" s="18"/>
    </row>
    <row r="1329" spans="1:12" ht="12" customHeight="1">
      <c r="A1329" s="39" cm="1">
        <f t="array" ref="A1329">IFERROR(INDEX('03.Muestra'!$B$8:$B$42,SMALL(IF("Página Web"='03.Muestra'!$D$8:$D$42,ROW('03.Muestra'!$B$8:$B$42)-MIN(ROW('03.Muestra'!$D$8:$D$42))+1,""),ROW()-1310)),"")</f>
        <v>19</v>
      </c>
      <c r="B1329" s="85" t="str" cm="1">
        <f t="array" ref="B1329">IFERROR(INDEX('03.Muestra'!$C$8:$C$42,SMALL(IF("Página Web"='03.Muestra'!$D$8:$D$42,ROW('03.Muestra'!$C$8:$C$42)-MIN(ROW('03.Muestra'!$D$8:$D$42))+1,""),ROW()-1310)),"")</f>
        <v>Mapa Web</v>
      </c>
      <c r="C1329" s="85" t="str" cm="1">
        <f t="array" ref="C1329">IFERROR(INDEX('03.Muestra'!$F$8:$F$42,SMALL(IF("Página Web"='03.Muestra'!$D$8:$D$42,ROW('03.Muestra'!$F$8:$F$42)-MIN(ROW('03.Muestra'!$D$8:$D$42))+1,""),ROW()-1310)),"")</f>
        <v>https://elecciones.comunidad.madrid/es/sitemap</v>
      </c>
      <c r="D1329" s="99" t="s">
        <v>176</v>
      </c>
      <c r="E1329" s="79" t="str">
        <f t="shared" si="68"/>
        <v/>
      </c>
      <c r="F1329" s="18"/>
      <c r="G1329" s="18"/>
      <c r="H1329" s="18"/>
      <c r="I1329" s="18"/>
      <c r="J1329" s="18"/>
      <c r="K1329" s="184"/>
      <c r="L1329" s="18"/>
    </row>
    <row r="1330" spans="1:12" ht="12" customHeight="1">
      <c r="A1330" s="39" cm="1">
        <f t="array" ref="A1330">IFERROR(INDEX('03.Muestra'!$B$8:$B$42,SMALL(IF("Página Web"='03.Muestra'!$D$8:$D$42,ROW('03.Muestra'!$B$8:$B$42)-MIN(ROW('03.Muestra'!$D$8:$D$42))+1,""),ROW()-1310)),"")</f>
        <v>20</v>
      </c>
      <c r="B1330" s="85" t="str" cm="1">
        <f t="array" ref="B1330">IFERROR(INDEX('03.Muestra'!$C$8:$C$42,SMALL(IF("Página Web"='03.Muestra'!$D$8:$D$42,ROW('03.Muestra'!$C$8:$C$42)-MIN(ROW('03.Muestra'!$D$8:$D$42))+1,""),ROW()-1310)),"")</f>
        <v>Declaracion Accesibilidad</v>
      </c>
      <c r="C1330" s="85" t="str" cm="1">
        <f t="array" ref="C1330">IFERROR(INDEX('03.Muestra'!$F$8:$F$42,SMALL(IF("Página Web"='03.Muestra'!$D$8:$D$42,ROW('03.Muestra'!$F$8:$F$42)-MIN(ROW('03.Muestra'!$D$8:$D$42))+1,""),ROW()-1310)),"")</f>
        <v>https://elecciones.comunidad.madrid/es/accesibilidad</v>
      </c>
      <c r="D1330" s="99" t="s">
        <v>176</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ref="D1331:D1345" si="69">IF(AND(B1331&lt;&gt;"",C1331&lt;&gt;""),"N/T","")</f>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181</v>
      </c>
      <c r="B1348" s="23" t="s">
        <v>173</v>
      </c>
      <c r="C1348" s="24" t="s">
        <v>259</v>
      </c>
      <c r="D1348" s="25" t="s">
        <v>183</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Inicio</v>
      </c>
      <c r="C1349" s="85" t="str" cm="1">
        <f t="array" ref="C1349">IFERROR(INDEX('03.Muestra'!$F$8:$F$42,SMALL(IF("Página Web"='03.Muestra'!$D$8:$D$42,ROW('03.Muestra'!$F$8:$F$42)-MIN(ROW('03.Muestra'!$D$8:$D$42))+1,""),ROW()-1348)),"")</f>
        <v>https://elecciones.comunidad.madrid/es</v>
      </c>
      <c r="D1349" s="99" t="s">
        <v>184</v>
      </c>
      <c r="E1349" s="79" t="str">
        <f t="shared" ref="E1349:E1383" si="70">IF(D1349&lt;&gt;"",IF(AND(B1349&lt;&gt;"",C1349&lt;&gt;""),"","ERR"),"")</f>
        <v/>
      </c>
      <c r="F1349" s="86" t="s">
        <v>185</v>
      </c>
      <c r="G1349" s="87" t="s">
        <v>186</v>
      </c>
      <c r="H1349" s="88" t="s">
        <v>184</v>
      </c>
      <c r="I1349" s="89" t="s">
        <v>176</v>
      </c>
      <c r="J1349" s="90" t="s">
        <v>174</v>
      </c>
      <c r="K1349" s="179" t="s">
        <v>180</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Resultado Elecciones 28M 2023</v>
      </c>
      <c r="C1350" s="85" t="str" cm="1">
        <f t="array" ref="C1350">IFERROR(INDEX('03.Muestra'!$F$8:$F$42,SMALL(IF("Página Web"='03.Muestra'!$D$8:$D$42,ROW('03.Muestra'!$F$8:$F$42)-MIN(ROW('03.Muestra'!$D$8:$D$42))+1,""),ROW()-1348)),"")</f>
        <v>https://elecciones.comunidad.madrid/es/resultados-elecciones-asamblea-madrid-28m-2023</v>
      </c>
      <c r="D1350" s="99" t="s">
        <v>184</v>
      </c>
      <c r="E1350" s="79" t="str">
        <f t="shared" si="70"/>
        <v/>
      </c>
      <c r="F1350" s="91">
        <f ca="1">COUNTIF($D1349:INDIRECT("$D" &amp;  SUM(ROW()-1,'03.Muestra'!$D$45)-1),F1349)</f>
        <v>0</v>
      </c>
      <c r="G1350" s="91">
        <f ca="1">COUNTIF($D1349:INDIRECT("$D" &amp;  SUM(ROW()-1,'03.Muestra'!$D$45)-1),G1349)</f>
        <v>0</v>
      </c>
      <c r="H1350" s="91">
        <f ca="1">COUNTIF($D1349:INDIRECT("$D" &amp;  SUM(ROW()-1,'03.Muestra'!$D$45)-1),H1349)</f>
        <v>20</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Normativa electoral</v>
      </c>
      <c r="C1351" s="85" t="str" cm="1">
        <f t="array" ref="C1351">IFERROR(INDEX('03.Muestra'!$F$8:$F$42,SMALL(IF("Página Web"='03.Muestra'!$D$8:$D$42,ROW('03.Muestra'!$F$8:$F$42)-MIN(ROW('03.Muestra'!$D$8:$D$42))+1,""),ROW()-1348)),"")</f>
        <v>https://elecciones.comunidad.madrid/es/informacion-electoral/normativa-electoral</v>
      </c>
      <c r="D1351" s="99" t="s">
        <v>184</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Calendario electoral</v>
      </c>
      <c r="C1352" s="85" t="str" cm="1">
        <f t="array" ref="C1352">IFERROR(INDEX('03.Muestra'!$F$8:$F$42,SMALL(IF("Página Web"='03.Muestra'!$D$8:$D$42,ROW('03.Muestra'!$F$8:$F$42)-MIN(ROW('03.Muestra'!$D$8:$D$42))+1,""),ROW()-1348)),"")</f>
        <v>https://elecciones.comunidad.madrid/es/informacion-electoral/calendario-electoral</v>
      </c>
      <c r="D1352" s="99" t="s">
        <v>184</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Direcciones y teléfonos</v>
      </c>
      <c r="C1353" s="85" t="str" cm="1">
        <f t="array" ref="C1353">IFERROR(INDEX('03.Muestra'!$F$8:$F$42,SMALL(IF("Página Web"='03.Muestra'!$D$8:$D$42,ROW('03.Muestra'!$F$8:$F$42)-MIN(ROW('03.Muestra'!$D$8:$D$42))+1,""),ROW()-1348)),"")</f>
        <v>https://elecciones.comunidad.madrid/es/juntas-electorales/direcciones-telefonos</v>
      </c>
      <c r="D1353" s="99" t="s">
        <v>184</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Impresos electrónicos</v>
      </c>
      <c r="C1354" s="85" t="str" cm="1">
        <f t="array" ref="C1354">IFERROR(INDEX('03.Muestra'!$F$8:$F$42,SMALL(IF("Página Web"='03.Muestra'!$D$8:$D$42,ROW('03.Muestra'!$F$8:$F$42)-MIN(ROW('03.Muestra'!$D$8:$D$42))+1,""),ROW()-1348)),"")</f>
        <v>https://elecciones.comunidad.madrid/es/formaciones-politicas/impresos-electronicos</v>
      </c>
      <c r="D1354" s="99" t="s">
        <v>184</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Listado de candidaturas</v>
      </c>
      <c r="C1355" s="85" t="str" cm="1">
        <f t="array" ref="C1355">IFERROR(INDEX('03.Muestra'!$F$8:$F$42,SMALL(IF("Página Web"='03.Muestra'!$D$8:$D$42,ROW('03.Muestra'!$F$8:$F$42)-MIN(ROW('03.Muestra'!$D$8:$D$42))+1,""),ROW()-1348)),"")</f>
        <v>https://elecciones.comunidad.madrid/es/formaciones-politicas/listado-candidaturas-proclamadas</v>
      </c>
      <c r="D1355" s="99" t="s">
        <v>184</v>
      </c>
      <c r="E1355" s="79" t="str">
        <f t="shared" si="70"/>
        <v/>
      </c>
      <c r="F1355" s="18"/>
      <c r="G1355" s="18"/>
      <c r="H1355" s="18"/>
      <c r="I1355" s="18"/>
      <c r="J1355" s="18"/>
      <c r="K1355" s="184"/>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Partido Feminista de España</v>
      </c>
      <c r="C1356" s="85" t="str" cm="1">
        <f t="array" ref="C1356">IFERROR(INDEX('03.Muestra'!$F$8:$F$42,SMALL(IF("Página Web"='03.Muestra'!$D$8:$D$42,ROW('03.Muestra'!$F$8:$F$42)-MIN(ROW('03.Muestra'!$D$8:$D$42))+1,""),ROW()-1348)),"")</f>
        <v>https://elecciones.comunidad.madrid/es/formaciones-politicas/listado-candidaturas/partido-feminista-espana</v>
      </c>
      <c r="D1356" s="99" t="s">
        <v>184</v>
      </c>
      <c r="E1356" s="79" t="str">
        <f t="shared" si="70"/>
        <v/>
      </c>
      <c r="F1356" s="18"/>
      <c r="G1356" s="18"/>
      <c r="H1356" s="18"/>
      <c r="I1356" s="18"/>
      <c r="J1356" s="18"/>
      <c r="K1356" s="184"/>
      <c r="L1356" s="18"/>
    </row>
    <row r="1357" spans="1:12" ht="12" customHeight="1">
      <c r="A1357" s="39" cm="1">
        <f t="array" ref="A1357">IFERROR(INDEX('03.Muestra'!$B$8:$B$42,SMALL(IF("Página Web"='03.Muestra'!$D$8:$D$42,ROW('03.Muestra'!$B$8:$B$42)-MIN(ROW('03.Muestra'!$D$8:$D$42))+1,""),ROW()-1348)),"")</f>
        <v>9</v>
      </c>
      <c r="B1357" s="85" t="str" cm="1">
        <f t="array" ref="B1357">IFERROR(INDEX('03.Muestra'!$C$8:$C$42,SMALL(IF("Página Web"='03.Muestra'!$D$8:$D$42,ROW('03.Muestra'!$C$8:$C$42)-MIN(ROW('03.Muestra'!$D$8:$D$42))+1,""),ROW()-1348)),"")</f>
        <v>¿Dónde voto?</v>
      </c>
      <c r="C1357" s="85" t="str" cm="1">
        <f t="array" ref="C1357">IFERROR(INDEX('03.Muestra'!$F$8:$F$42,SMALL(IF("Página Web"='03.Muestra'!$D$8:$D$42,ROW('03.Muestra'!$F$8:$F$42)-MIN(ROW('03.Muestra'!$D$8:$D$42))+1,""),ROW()-1348)),"")</f>
        <v>https://elecciones.comunidad.madrid/es/votar/donde-voto</v>
      </c>
      <c r="D1357" s="99" t="s">
        <v>184</v>
      </c>
      <c r="E1357" s="79" t="str">
        <f t="shared" si="70"/>
        <v/>
      </c>
      <c r="F1357" s="18"/>
      <c r="G1357" s="18"/>
      <c r="H1357" s="18"/>
      <c r="I1357" s="18"/>
      <c r="J1357" s="18"/>
      <c r="K1357" s="184"/>
      <c r="L1357" s="18"/>
    </row>
    <row r="1358" spans="1:12" ht="12" customHeight="1">
      <c r="A1358" s="39" cm="1">
        <f t="array" ref="A1358">IFERROR(INDEX('03.Muestra'!$B$8:$B$42,SMALL(IF("Página Web"='03.Muestra'!$D$8:$D$42,ROW('03.Muestra'!$B$8:$B$42)-MIN(ROW('03.Muestra'!$D$8:$D$42))+1,""),ROW()-1348)),"")</f>
        <v>10</v>
      </c>
      <c r="B1358" s="85" t="str" cm="1">
        <f t="array" ref="B1358">IFERROR(INDEX('03.Muestra'!$C$8:$C$42,SMALL(IF("Página Web"='03.Muestra'!$D$8:$D$42,ROW('03.Muestra'!$C$8:$C$42)-MIN(ROW('03.Muestra'!$D$8:$D$42))+1,""),ROW()-1348)),"")</f>
        <v>Voto presencial</v>
      </c>
      <c r="C1358" s="85" t="str" cm="1">
        <f t="array" ref="C1358">IFERROR(INDEX('03.Muestra'!$F$8:$F$42,SMALL(IF("Página Web"='03.Muestra'!$D$8:$D$42,ROW('03.Muestra'!$F$8:$F$42)-MIN(ROW('03.Muestra'!$D$8:$D$42))+1,""),ROW()-1348)),"")</f>
        <v>https://elecciones.comunidad.madrid/es/voto-local-electoral/voto-presencial</v>
      </c>
      <c r="D1358" s="99" t="s">
        <v>184</v>
      </c>
      <c r="E1358" s="79" t="str">
        <f t="shared" si="70"/>
        <v/>
      </c>
      <c r="F1358" s="18"/>
      <c r="G1358" s="18"/>
      <c r="H1358" s="18"/>
      <c r="I1358" s="18"/>
      <c r="J1358" s="18"/>
      <c r="K1358" s="184"/>
      <c r="L1358" s="18"/>
    </row>
    <row r="1359" spans="1:12" ht="12" customHeight="1">
      <c r="A1359" s="39" cm="1">
        <f t="array" ref="A1359">IFERROR(INDEX('03.Muestra'!$B$8:$B$42,SMALL(IF("Página Web"='03.Muestra'!$D$8:$D$42,ROW('03.Muestra'!$B$8:$B$42)-MIN(ROW('03.Muestra'!$D$8:$D$42))+1,""),ROW()-1348)),"")</f>
        <v>11</v>
      </c>
      <c r="B1359" s="85" t="str" cm="1">
        <f t="array" ref="B1359">IFERROR(INDEX('03.Muestra'!$C$8:$C$42,SMALL(IF("Página Web"='03.Muestra'!$D$8:$D$42,ROW('03.Muestra'!$C$8:$C$42)-MIN(ROW('03.Muestra'!$D$8:$D$42))+1,""),ROW()-1348)),"")</f>
        <v>Ciudadanos temporalmente en el extranjero</v>
      </c>
      <c r="C1359" s="85" t="str" cm="1">
        <f t="array" ref="C1359">IFERROR(INDEX('03.Muestra'!$F$8:$F$42,SMALL(IF("Página Web"='03.Muestra'!$D$8:$D$42,ROW('03.Muestra'!$F$8:$F$42)-MIN(ROW('03.Muestra'!$D$8:$D$42))+1,""),ROW()-1348)),"")</f>
        <v>https://elecciones.comunidad.madrid/es/voto-correo/solicitud-voto-temporalmente-ausentes</v>
      </c>
      <c r="D1359" s="99" t="s">
        <v>184</v>
      </c>
      <c r="E1359" s="79" t="str">
        <f t="shared" si="70"/>
        <v/>
      </c>
      <c r="F1359" s="18"/>
      <c r="G1359" s="18"/>
      <c r="H1359" s="18"/>
      <c r="I1359" s="18"/>
      <c r="J1359" s="18"/>
      <c r="K1359" s="184"/>
      <c r="L1359" s="18"/>
    </row>
    <row r="1360" spans="1:12" ht="12" customHeight="1">
      <c r="A1360" s="39" cm="1">
        <f t="array" ref="A1360">IFERROR(INDEX('03.Muestra'!$B$8:$B$42,SMALL(IF("Página Web"='03.Muestra'!$D$8:$D$42,ROW('03.Muestra'!$B$8:$B$42)-MIN(ROW('03.Muestra'!$D$8:$D$42))+1,""),ROW()-1348)),"")</f>
        <v>12</v>
      </c>
      <c r="B1360" s="85" t="str" cm="1">
        <f t="array" ref="B1360">IFERROR(INDEX('03.Muestra'!$C$8:$C$42,SMALL(IF("Página Web"='03.Muestra'!$D$8:$D$42,ROW('03.Muestra'!$C$8:$C$42)-MIN(ROW('03.Muestra'!$D$8:$D$42))+1,""),ROW()-1348)),"")</f>
        <v>Nuevo votante</v>
      </c>
      <c r="C1360" s="85" t="str" cm="1">
        <f t="array" ref="C1360">IFERROR(INDEX('03.Muestra'!$F$8:$F$42,SMALL(IF("Página Web"='03.Muestra'!$D$8:$D$42,ROW('03.Muestra'!$F$8:$F$42)-MIN(ROW('03.Muestra'!$D$8:$D$42))+1,""),ROW()-1348)),"")</f>
        <v>https://elecciones.comunidad.madrid/es/votar/nuevo-votante</v>
      </c>
      <c r="D1360" s="99" t="s">
        <v>184</v>
      </c>
      <c r="E1360" s="79" t="str">
        <f t="shared" si="70"/>
        <v/>
      </c>
      <c r="F1360" s="18"/>
      <c r="G1360" s="18"/>
      <c r="H1360" s="18"/>
      <c r="I1360" s="18"/>
      <c r="J1360" s="18"/>
      <c r="K1360" s="184"/>
      <c r="L1360" s="18"/>
    </row>
    <row r="1361" spans="1:12" ht="12" customHeight="1">
      <c r="A1361" s="39" cm="1">
        <f t="array" ref="A1361">IFERROR(INDEX('03.Muestra'!$B$8:$B$42,SMALL(IF("Página Web"='03.Muestra'!$D$8:$D$42,ROW('03.Muestra'!$B$8:$B$42)-MIN(ROW('03.Muestra'!$D$8:$D$42))+1,""),ROW()-1348)),"")</f>
        <v>13</v>
      </c>
      <c r="B1361" s="85" t="str" cm="1">
        <f t="array" ref="B1361">IFERROR(INDEX('03.Muestra'!$C$8:$C$42,SMALL(IF("Página Web"='03.Muestra'!$D$8:$D$42,ROW('03.Muestra'!$C$8:$C$42)-MIN(ROW('03.Muestra'!$D$8:$D$42))+1,""),ROW()-1348)),"")</f>
        <v>Simulación método D'Hondt</v>
      </c>
      <c r="C1361" s="85" t="str" cm="1">
        <f t="array" ref="C1361">IFERROR(INDEX('03.Muestra'!$F$8:$F$42,SMALL(IF("Página Web"='03.Muestra'!$D$8:$D$42,ROW('03.Muestra'!$F$8:$F$42)-MIN(ROW('03.Muestra'!$D$8:$D$42))+1,""),ROW()-1348)),"")</f>
        <v>https://elecciones.comunidad.madrid/es/informacion-util/simulacion-metodo-dhondt</v>
      </c>
      <c r="D1361" s="99" t="s">
        <v>184</v>
      </c>
      <c r="E1361" s="79" t="str">
        <f t="shared" si="70"/>
        <v/>
      </c>
      <c r="F1361" s="18"/>
      <c r="G1361" s="18"/>
      <c r="H1361" s="18"/>
      <c r="I1361" s="18"/>
      <c r="J1361" s="18"/>
      <c r="K1361" s="184"/>
      <c r="L1361" s="18"/>
    </row>
    <row r="1362" spans="1:12" ht="12" customHeight="1">
      <c r="A1362" s="39" cm="1">
        <f t="array" ref="A1362">IFERROR(INDEX('03.Muestra'!$B$8:$B$42,SMALL(IF("Página Web"='03.Muestra'!$D$8:$D$42,ROW('03.Muestra'!$B$8:$B$42)-MIN(ROW('03.Muestra'!$D$8:$D$42))+1,""),ROW()-1348)),"")</f>
        <v>14</v>
      </c>
      <c r="B1362" s="85" t="str" cm="1">
        <f t="array" ref="B1362">IFERROR(INDEX('03.Muestra'!$C$8:$C$42,SMALL(IF("Página Web"='03.Muestra'!$D$8:$D$42,ROW('03.Muestra'!$C$8:$C$42)-MIN(ROW('03.Muestra'!$D$8:$D$42))+1,""),ROW()-1348)),"")</f>
        <v>Ley D'Hondt</v>
      </c>
      <c r="C1362" s="85" t="str" cm="1">
        <f t="array" ref="C1362">IFERROR(INDEX('03.Muestra'!$F$8:$F$42,SMALL(IF("Página Web"='03.Muestra'!$D$8:$D$42,ROW('03.Muestra'!$F$8:$F$42)-MIN(ROW('03.Muestra'!$D$8:$D$42))+1,""),ROW()-1348)),"")</f>
        <v>https://elecciones.comunidad.madrid/es/resultados/ley_d_hondt</v>
      </c>
      <c r="D1362" s="99" t="s">
        <v>184</v>
      </c>
      <c r="E1362" s="79" t="str">
        <f t="shared" si="70"/>
        <v/>
      </c>
      <c r="F1362" s="18"/>
      <c r="G1362" s="18"/>
      <c r="H1362" s="18"/>
      <c r="I1362" s="18"/>
      <c r="J1362" s="18"/>
      <c r="K1362" s="184"/>
      <c r="L1362" s="18"/>
    </row>
    <row r="1363" spans="1:12" ht="12" customHeight="1">
      <c r="A1363" s="39" cm="1">
        <f t="array" ref="A1363">IFERROR(INDEX('03.Muestra'!$B$8:$B$42,SMALL(IF("Página Web"='03.Muestra'!$D$8:$D$42,ROW('03.Muestra'!$B$8:$B$42)-MIN(ROW('03.Muestra'!$D$8:$D$42))+1,""),ROW()-1348)),"")</f>
        <v>15</v>
      </c>
      <c r="B1363" s="85" t="str" cm="1">
        <f t="array" ref="B1363">IFERROR(INDEX('03.Muestra'!$C$8:$C$42,SMALL(IF("Página Web"='03.Muestra'!$D$8:$D$42,ROW('03.Muestra'!$C$8:$C$42)-MIN(ROW('03.Muestra'!$D$8:$D$42))+1,""),ROW()-1348)),"")</f>
        <v>Voto por correo elector CERA en España</v>
      </c>
      <c r="C1363" s="85" t="str" cm="1">
        <f t="array" ref="C1363">IFERROR(INDEX('03.Muestra'!$F$8:$F$42,SMALL(IF("Página Web"='03.Muestra'!$D$8:$D$42,ROW('03.Muestra'!$F$8:$F$42)-MIN(ROW('03.Muestra'!$D$8:$D$42))+1,""),ROW()-1348)),"")</f>
        <v>https://elecciones.comunidad.madrid/es/preguntas-frecuentes/voto-correo-electores-residentes-extranjero</v>
      </c>
      <c r="D1363" s="99" t="s">
        <v>184</v>
      </c>
      <c r="E1363" s="79" t="str">
        <f t="shared" si="70"/>
        <v/>
      </c>
      <c r="F1363" s="18"/>
      <c r="G1363" s="18"/>
      <c r="H1363" s="18"/>
      <c r="I1363" s="18"/>
      <c r="J1363" s="18"/>
      <c r="K1363" s="184"/>
      <c r="L1363" s="18"/>
    </row>
    <row r="1364" spans="1:12" ht="12" customHeight="1">
      <c r="A1364" s="39" cm="1">
        <f t="array" ref="A1364">IFERROR(INDEX('03.Muestra'!$B$8:$B$42,SMALL(IF("Página Web"='03.Muestra'!$D$8:$D$42,ROW('03.Muestra'!$B$8:$B$42)-MIN(ROW('03.Muestra'!$D$8:$D$42))+1,""),ROW()-1348)),"")</f>
        <v>16</v>
      </c>
      <c r="B1364" s="85" t="str" cm="1">
        <f t="array" ref="B1364">IFERROR(INDEX('03.Muestra'!$C$8:$C$42,SMALL(IF("Página Web"='03.Muestra'!$D$8:$D$42,ROW('03.Muestra'!$C$8:$C$42)-MIN(ROW('03.Muestra'!$D$8:$D$42))+1,""),ROW()-1348)),"")</f>
        <v>Contacto</v>
      </c>
      <c r="C1364" s="85" t="str" cm="1">
        <f t="array" ref="C1364">IFERROR(INDEX('03.Muestra'!$F$8:$F$42,SMALL(IF("Página Web"='03.Muestra'!$D$8:$D$42,ROW('03.Muestra'!$F$8:$F$42)-MIN(ROW('03.Muestra'!$D$8:$D$42))+1,""),ROW()-1348)),"")</f>
        <v>https://elecciones.comunidad.madrid/es/buzon-de-sugerencias</v>
      </c>
      <c r="D1364" s="99" t="s">
        <v>184</v>
      </c>
      <c r="E1364" s="79" t="str">
        <f t="shared" si="70"/>
        <v/>
      </c>
      <c r="F1364" s="18"/>
      <c r="G1364" s="18"/>
      <c r="H1364" s="18"/>
      <c r="I1364" s="18"/>
      <c r="J1364" s="18"/>
      <c r="K1364" s="184"/>
      <c r="L1364" s="18"/>
    </row>
    <row r="1365" spans="1:12" ht="12" customHeight="1">
      <c r="A1365" s="39" cm="1">
        <f t="array" ref="A1365">IFERROR(INDEX('03.Muestra'!$B$8:$B$42,SMALL(IF("Página Web"='03.Muestra'!$D$8:$D$42,ROW('03.Muestra'!$B$8:$B$42)-MIN(ROW('03.Muestra'!$D$8:$D$42))+1,""),ROW()-1348)),"")</f>
        <v>17</v>
      </c>
      <c r="B1365" s="85" t="str" cm="1">
        <f t="array" ref="B1365">IFERROR(INDEX('03.Muestra'!$C$8:$C$42,SMALL(IF("Página Web"='03.Muestra'!$D$8:$D$42,ROW('03.Muestra'!$C$8:$C$42)-MIN(ROW('03.Muestra'!$D$8:$D$42))+1,""),ROW()-1348)),"")</f>
        <v>Buscador</v>
      </c>
      <c r="C1365" s="85" t="str" cm="1">
        <f t="array" ref="C1365">IFERROR(INDEX('03.Muestra'!$F$8:$F$42,SMALL(IF("Página Web"='03.Muestra'!$D$8:$D$42,ROW('03.Muestra'!$F$8:$F$42)-MIN(ROW('03.Muestra'!$D$8:$D$42))+1,""),ROW()-1348)),"")</f>
        <v>https://elecciones.comunidad.madrid/es/search?search_api_fulltext=partido</v>
      </c>
      <c r="D1365" s="99" t="s">
        <v>184</v>
      </c>
      <c r="E1365" s="79" t="str">
        <f t="shared" si="70"/>
        <v/>
      </c>
      <c r="F1365" s="18"/>
      <c r="G1365" s="18"/>
      <c r="H1365" s="18"/>
      <c r="I1365" s="18"/>
      <c r="J1365" s="18"/>
      <c r="K1365" s="184"/>
      <c r="L1365" s="18"/>
    </row>
    <row r="1366" spans="1:12" ht="12" customHeight="1">
      <c r="A1366" s="39" cm="1">
        <f t="array" ref="A1366">IFERROR(INDEX('03.Muestra'!$B$8:$B$42,SMALL(IF("Página Web"='03.Muestra'!$D$8:$D$42,ROW('03.Muestra'!$B$8:$B$42)-MIN(ROW('03.Muestra'!$D$8:$D$42))+1,""),ROW()-1348)),"")</f>
        <v>18</v>
      </c>
      <c r="B1366" s="85" t="str" cm="1">
        <f t="array" ref="B1366">IFERROR(INDEX('03.Muestra'!$C$8:$C$42,SMALL(IF("Página Web"='03.Muestra'!$D$8:$D$42,ROW('03.Muestra'!$C$8:$C$42)-MIN(ROW('03.Muestra'!$D$8:$D$42))+1,""),ROW()-1348)),"")</f>
        <v>Aviso Legal-Privacidad</v>
      </c>
      <c r="C1366" s="85" t="str" cm="1">
        <f t="array" ref="C1366">IFERROR(INDEX('03.Muestra'!$F$8:$F$42,SMALL(IF("Página Web"='03.Muestra'!$D$8:$D$42,ROW('03.Muestra'!$F$8:$F$42)-MIN(ROW('03.Muestra'!$D$8:$D$42))+1,""),ROW()-1348)),"")</f>
        <v>https://elecciones.comunidad.madrid/es/aviso-legal</v>
      </c>
      <c r="D1366" s="99" t="s">
        <v>184</v>
      </c>
      <c r="E1366" s="79" t="str">
        <f t="shared" si="70"/>
        <v/>
      </c>
      <c r="F1366" s="18"/>
      <c r="G1366" s="18"/>
      <c r="H1366" s="18"/>
      <c r="I1366" s="18"/>
      <c r="J1366" s="18"/>
      <c r="K1366" s="184"/>
      <c r="L1366" s="18"/>
    </row>
    <row r="1367" spans="1:12" ht="12" customHeight="1">
      <c r="A1367" s="39" cm="1">
        <f t="array" ref="A1367">IFERROR(INDEX('03.Muestra'!$B$8:$B$42,SMALL(IF("Página Web"='03.Muestra'!$D$8:$D$42,ROW('03.Muestra'!$B$8:$B$42)-MIN(ROW('03.Muestra'!$D$8:$D$42))+1,""),ROW()-1348)),"")</f>
        <v>19</v>
      </c>
      <c r="B1367" s="85" t="str" cm="1">
        <f t="array" ref="B1367">IFERROR(INDEX('03.Muestra'!$C$8:$C$42,SMALL(IF("Página Web"='03.Muestra'!$D$8:$D$42,ROW('03.Muestra'!$C$8:$C$42)-MIN(ROW('03.Muestra'!$D$8:$D$42))+1,""),ROW()-1348)),"")</f>
        <v>Mapa Web</v>
      </c>
      <c r="C1367" s="85" t="str" cm="1">
        <f t="array" ref="C1367">IFERROR(INDEX('03.Muestra'!$F$8:$F$42,SMALL(IF("Página Web"='03.Muestra'!$D$8:$D$42,ROW('03.Muestra'!$F$8:$F$42)-MIN(ROW('03.Muestra'!$D$8:$D$42))+1,""),ROW()-1348)),"")</f>
        <v>https://elecciones.comunidad.madrid/es/sitemap</v>
      </c>
      <c r="D1367" s="99" t="s">
        <v>184</v>
      </c>
      <c r="E1367" s="79" t="str">
        <f t="shared" si="70"/>
        <v/>
      </c>
      <c r="F1367" s="18"/>
      <c r="G1367" s="18"/>
      <c r="H1367" s="18"/>
      <c r="I1367" s="18"/>
      <c r="J1367" s="18"/>
      <c r="K1367" s="184"/>
      <c r="L1367" s="18"/>
    </row>
    <row r="1368" spans="1:12" ht="12" customHeight="1">
      <c r="A1368" s="39" cm="1">
        <f t="array" ref="A1368">IFERROR(INDEX('03.Muestra'!$B$8:$B$42,SMALL(IF("Página Web"='03.Muestra'!$D$8:$D$42,ROW('03.Muestra'!$B$8:$B$42)-MIN(ROW('03.Muestra'!$D$8:$D$42))+1,""),ROW()-1348)),"")</f>
        <v>20</v>
      </c>
      <c r="B1368" s="85" t="str" cm="1">
        <f t="array" ref="B1368">IFERROR(INDEX('03.Muestra'!$C$8:$C$42,SMALL(IF("Página Web"='03.Muestra'!$D$8:$D$42,ROW('03.Muestra'!$C$8:$C$42)-MIN(ROW('03.Muestra'!$D$8:$D$42))+1,""),ROW()-1348)),"")</f>
        <v>Declaracion Accesibilidad</v>
      </c>
      <c r="C1368" s="85" t="str" cm="1">
        <f t="array" ref="C1368">IFERROR(INDEX('03.Muestra'!$F$8:$F$42,SMALL(IF("Página Web"='03.Muestra'!$D$8:$D$42,ROW('03.Muestra'!$F$8:$F$42)-MIN(ROW('03.Muestra'!$D$8:$D$42))+1,""),ROW()-1348)),"")</f>
        <v>https://elecciones.comunidad.madrid/es/accesibilidad</v>
      </c>
      <c r="D1368" s="99" t="s">
        <v>184</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ref="D1369:D1383" si="71">IF(AND(B1369&lt;&gt;"",C1369&lt;&gt;""),"N/T","")</f>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181</v>
      </c>
      <c r="B1386" s="23" t="s">
        <v>173</v>
      </c>
      <c r="C1386" s="24" t="s">
        <v>260</v>
      </c>
      <c r="D1386" s="25" t="s">
        <v>183</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Inicio</v>
      </c>
      <c r="C1387" s="85" t="str" cm="1">
        <f t="array" ref="C1387">IFERROR(INDEX('03.Muestra'!$F$8:$F$42,SMALL(IF("Página Web"='03.Muestra'!$D$8:$D$42,ROW('03.Muestra'!$F$8:$F$42)-MIN(ROW('03.Muestra'!$D$8:$D$42))+1,""),ROW()-1386)),"")</f>
        <v>https://elecciones.comunidad.madrid/es</v>
      </c>
      <c r="D1387" s="99" t="s">
        <v>174</v>
      </c>
      <c r="E1387" s="79" t="str">
        <f t="shared" ref="E1387:E1421" si="72">IF(D1387&lt;&gt;"",IF(AND(B1387&lt;&gt;"",C1387&lt;&gt;""),"","ERR"),"")</f>
        <v/>
      </c>
      <c r="F1387" s="86" t="s">
        <v>185</v>
      </c>
      <c r="G1387" s="87" t="s">
        <v>186</v>
      </c>
      <c r="H1387" s="88" t="s">
        <v>184</v>
      </c>
      <c r="I1387" s="89" t="s">
        <v>176</v>
      </c>
      <c r="J1387" s="90" t="s">
        <v>174</v>
      </c>
      <c r="K1387" s="179" t="s">
        <v>180</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Resultado Elecciones 28M 2023</v>
      </c>
      <c r="C1388" s="85" t="str" cm="1">
        <f t="array" ref="C1388">IFERROR(INDEX('03.Muestra'!$F$8:$F$42,SMALL(IF("Página Web"='03.Muestra'!$D$8:$D$42,ROW('03.Muestra'!$F$8:$F$42)-MIN(ROW('03.Muestra'!$D$8:$D$42))+1,""),ROW()-1386)),"")</f>
        <v>https://elecciones.comunidad.madrid/es/resultados-elecciones-asamblea-madrid-28m-2023</v>
      </c>
      <c r="D1388" s="99" t="s">
        <v>174</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20</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Normativa electoral</v>
      </c>
      <c r="C1389" s="85" t="str" cm="1">
        <f t="array" ref="C1389">IFERROR(INDEX('03.Muestra'!$F$8:$F$42,SMALL(IF("Página Web"='03.Muestra'!$D$8:$D$42,ROW('03.Muestra'!$F$8:$F$42)-MIN(ROW('03.Muestra'!$D$8:$D$42))+1,""),ROW()-1386)),"")</f>
        <v>https://elecciones.comunidad.madrid/es/informacion-electoral/normativa-electoral</v>
      </c>
      <c r="D1389" s="99" t="s">
        <v>174</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Calendario electoral</v>
      </c>
      <c r="C1390" s="85" t="str" cm="1">
        <f t="array" ref="C1390">IFERROR(INDEX('03.Muestra'!$F$8:$F$42,SMALL(IF("Página Web"='03.Muestra'!$D$8:$D$42,ROW('03.Muestra'!$F$8:$F$42)-MIN(ROW('03.Muestra'!$D$8:$D$42))+1,""),ROW()-1386)),"")</f>
        <v>https://elecciones.comunidad.madrid/es/informacion-electoral/calendario-electoral</v>
      </c>
      <c r="D1390" s="99" t="s">
        <v>174</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Direcciones y teléfonos</v>
      </c>
      <c r="C1391" s="85" t="str" cm="1">
        <f t="array" ref="C1391">IFERROR(INDEX('03.Muestra'!$F$8:$F$42,SMALL(IF("Página Web"='03.Muestra'!$D$8:$D$42,ROW('03.Muestra'!$F$8:$F$42)-MIN(ROW('03.Muestra'!$D$8:$D$42))+1,""),ROW()-1386)),"")</f>
        <v>https://elecciones.comunidad.madrid/es/juntas-electorales/direcciones-telefonos</v>
      </c>
      <c r="D1391" s="99" t="s">
        <v>174</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Impresos electrónicos</v>
      </c>
      <c r="C1392" s="85" t="str" cm="1">
        <f t="array" ref="C1392">IFERROR(INDEX('03.Muestra'!$F$8:$F$42,SMALL(IF("Página Web"='03.Muestra'!$D$8:$D$42,ROW('03.Muestra'!$F$8:$F$42)-MIN(ROW('03.Muestra'!$D$8:$D$42))+1,""),ROW()-1386)),"")</f>
        <v>https://elecciones.comunidad.madrid/es/formaciones-politicas/impresos-electronicos</v>
      </c>
      <c r="D1392" s="99" t="s">
        <v>174</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Listado de candidaturas</v>
      </c>
      <c r="C1393" s="85" t="str" cm="1">
        <f t="array" ref="C1393">IFERROR(INDEX('03.Muestra'!$F$8:$F$42,SMALL(IF("Página Web"='03.Muestra'!$D$8:$D$42,ROW('03.Muestra'!$F$8:$F$42)-MIN(ROW('03.Muestra'!$D$8:$D$42))+1,""),ROW()-1386)),"")</f>
        <v>https://elecciones.comunidad.madrid/es/formaciones-politicas/listado-candidaturas-proclamadas</v>
      </c>
      <c r="D1393" s="99" t="s">
        <v>174</v>
      </c>
      <c r="E1393" s="79" t="str">
        <f t="shared" si="72"/>
        <v/>
      </c>
      <c r="F1393" s="18"/>
      <c r="G1393" s="18"/>
      <c r="H1393" s="18"/>
      <c r="I1393" s="18"/>
      <c r="K1393" s="185"/>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Partido Feminista de España</v>
      </c>
      <c r="C1394" s="85" t="str" cm="1">
        <f t="array" ref="C1394">IFERROR(INDEX('03.Muestra'!$F$8:$F$42,SMALL(IF("Página Web"='03.Muestra'!$D$8:$D$42,ROW('03.Muestra'!$F$8:$F$42)-MIN(ROW('03.Muestra'!$D$8:$D$42))+1,""),ROW()-1386)),"")</f>
        <v>https://elecciones.comunidad.madrid/es/formaciones-politicas/listado-candidaturas/partido-feminista-espana</v>
      </c>
      <c r="D1394" s="99" t="s">
        <v>174</v>
      </c>
      <c r="E1394" s="79" t="str">
        <f t="shared" si="72"/>
        <v/>
      </c>
      <c r="F1394" s="18"/>
      <c r="G1394" s="18"/>
      <c r="H1394" s="18"/>
      <c r="I1394" s="18"/>
      <c r="J1394" s="18"/>
      <c r="K1394" s="184"/>
      <c r="L1394" s="18"/>
    </row>
    <row r="1395" spans="1:12" ht="12" customHeight="1">
      <c r="A1395" s="39" cm="1">
        <f t="array" ref="A1395">IFERROR(INDEX('03.Muestra'!$B$8:$B$42,SMALL(IF("Página Web"='03.Muestra'!$D$8:$D$42,ROW('03.Muestra'!$B$8:$B$42)-MIN(ROW('03.Muestra'!$D$8:$D$42))+1,""),ROW()-1386)),"")</f>
        <v>9</v>
      </c>
      <c r="B1395" s="85" t="str" cm="1">
        <f t="array" ref="B1395">IFERROR(INDEX('03.Muestra'!$C$8:$C$42,SMALL(IF("Página Web"='03.Muestra'!$D$8:$D$42,ROW('03.Muestra'!$C$8:$C$42)-MIN(ROW('03.Muestra'!$D$8:$D$42))+1,""),ROW()-1386)),"")</f>
        <v>¿Dónde voto?</v>
      </c>
      <c r="C1395" s="85" t="str" cm="1">
        <f t="array" ref="C1395">IFERROR(INDEX('03.Muestra'!$F$8:$F$42,SMALL(IF("Página Web"='03.Muestra'!$D$8:$D$42,ROW('03.Muestra'!$F$8:$F$42)-MIN(ROW('03.Muestra'!$D$8:$D$42))+1,""),ROW()-1386)),"")</f>
        <v>https://elecciones.comunidad.madrid/es/votar/donde-voto</v>
      </c>
      <c r="D1395" s="99" t="s">
        <v>174</v>
      </c>
      <c r="E1395" s="79" t="str">
        <f t="shared" si="72"/>
        <v/>
      </c>
      <c r="F1395" s="18"/>
      <c r="G1395" s="18"/>
      <c r="H1395" s="18"/>
      <c r="I1395" s="18"/>
      <c r="J1395" s="18"/>
      <c r="K1395" s="184"/>
      <c r="L1395" s="18"/>
    </row>
    <row r="1396" spans="1:12" ht="12" customHeight="1">
      <c r="A1396" s="39" cm="1">
        <f t="array" ref="A1396">IFERROR(INDEX('03.Muestra'!$B$8:$B$42,SMALL(IF("Página Web"='03.Muestra'!$D$8:$D$42,ROW('03.Muestra'!$B$8:$B$42)-MIN(ROW('03.Muestra'!$D$8:$D$42))+1,""),ROW()-1386)),"")</f>
        <v>10</v>
      </c>
      <c r="B1396" s="85" t="str" cm="1">
        <f t="array" ref="B1396">IFERROR(INDEX('03.Muestra'!$C$8:$C$42,SMALL(IF("Página Web"='03.Muestra'!$D$8:$D$42,ROW('03.Muestra'!$C$8:$C$42)-MIN(ROW('03.Muestra'!$D$8:$D$42))+1,""),ROW()-1386)),"")</f>
        <v>Voto presencial</v>
      </c>
      <c r="C1396" s="85" t="str" cm="1">
        <f t="array" ref="C1396">IFERROR(INDEX('03.Muestra'!$F$8:$F$42,SMALL(IF("Página Web"='03.Muestra'!$D$8:$D$42,ROW('03.Muestra'!$F$8:$F$42)-MIN(ROW('03.Muestra'!$D$8:$D$42))+1,""),ROW()-1386)),"")</f>
        <v>https://elecciones.comunidad.madrid/es/voto-local-electoral/voto-presencial</v>
      </c>
      <c r="D1396" s="99" t="s">
        <v>174</v>
      </c>
      <c r="E1396" s="79" t="str">
        <f t="shared" si="72"/>
        <v/>
      </c>
      <c r="F1396" s="18"/>
      <c r="G1396" s="18"/>
      <c r="H1396" s="18"/>
      <c r="I1396" s="18"/>
      <c r="J1396" s="18"/>
      <c r="K1396" s="184"/>
      <c r="L1396" s="18"/>
    </row>
    <row r="1397" spans="1:12" ht="12" customHeight="1">
      <c r="A1397" s="39" cm="1">
        <f t="array" ref="A1397">IFERROR(INDEX('03.Muestra'!$B$8:$B$42,SMALL(IF("Página Web"='03.Muestra'!$D$8:$D$42,ROW('03.Muestra'!$B$8:$B$42)-MIN(ROW('03.Muestra'!$D$8:$D$42))+1,""),ROW()-1386)),"")</f>
        <v>11</v>
      </c>
      <c r="B1397" s="85" t="str" cm="1">
        <f t="array" ref="B1397">IFERROR(INDEX('03.Muestra'!$C$8:$C$42,SMALL(IF("Página Web"='03.Muestra'!$D$8:$D$42,ROW('03.Muestra'!$C$8:$C$42)-MIN(ROW('03.Muestra'!$D$8:$D$42))+1,""),ROW()-1386)),"")</f>
        <v>Ciudadanos temporalmente en el extranjero</v>
      </c>
      <c r="C1397" s="85" t="str" cm="1">
        <f t="array" ref="C1397">IFERROR(INDEX('03.Muestra'!$F$8:$F$42,SMALL(IF("Página Web"='03.Muestra'!$D$8:$D$42,ROW('03.Muestra'!$F$8:$F$42)-MIN(ROW('03.Muestra'!$D$8:$D$42))+1,""),ROW()-1386)),"")</f>
        <v>https://elecciones.comunidad.madrid/es/voto-correo/solicitud-voto-temporalmente-ausentes</v>
      </c>
      <c r="D1397" s="99" t="s">
        <v>174</v>
      </c>
      <c r="E1397" s="79" t="str">
        <f t="shared" si="72"/>
        <v/>
      </c>
      <c r="F1397" s="18"/>
      <c r="G1397" s="18"/>
      <c r="H1397" s="18"/>
      <c r="I1397" s="18"/>
      <c r="J1397" s="18"/>
      <c r="K1397" s="184"/>
      <c r="L1397" s="18"/>
    </row>
    <row r="1398" spans="1:12" ht="12" customHeight="1">
      <c r="A1398" s="39" cm="1">
        <f t="array" ref="A1398">IFERROR(INDEX('03.Muestra'!$B$8:$B$42,SMALL(IF("Página Web"='03.Muestra'!$D$8:$D$42,ROW('03.Muestra'!$B$8:$B$42)-MIN(ROW('03.Muestra'!$D$8:$D$42))+1,""),ROW()-1386)),"")</f>
        <v>12</v>
      </c>
      <c r="B1398" s="85" t="str" cm="1">
        <f t="array" ref="B1398">IFERROR(INDEX('03.Muestra'!$C$8:$C$42,SMALL(IF("Página Web"='03.Muestra'!$D$8:$D$42,ROW('03.Muestra'!$C$8:$C$42)-MIN(ROW('03.Muestra'!$D$8:$D$42))+1,""),ROW()-1386)),"")</f>
        <v>Nuevo votante</v>
      </c>
      <c r="C1398" s="85" t="str" cm="1">
        <f t="array" ref="C1398">IFERROR(INDEX('03.Muestra'!$F$8:$F$42,SMALL(IF("Página Web"='03.Muestra'!$D$8:$D$42,ROW('03.Muestra'!$F$8:$F$42)-MIN(ROW('03.Muestra'!$D$8:$D$42))+1,""),ROW()-1386)),"")</f>
        <v>https://elecciones.comunidad.madrid/es/votar/nuevo-votante</v>
      </c>
      <c r="D1398" s="99" t="s">
        <v>174</v>
      </c>
      <c r="E1398" s="79" t="str">
        <f t="shared" si="72"/>
        <v/>
      </c>
      <c r="F1398" s="18"/>
      <c r="G1398" s="18"/>
      <c r="H1398" s="18"/>
      <c r="I1398" s="18"/>
      <c r="J1398" s="18"/>
      <c r="K1398" s="184"/>
      <c r="L1398" s="18"/>
    </row>
    <row r="1399" spans="1:12" ht="12" customHeight="1">
      <c r="A1399" s="39" cm="1">
        <f t="array" ref="A1399">IFERROR(INDEX('03.Muestra'!$B$8:$B$42,SMALL(IF("Página Web"='03.Muestra'!$D$8:$D$42,ROW('03.Muestra'!$B$8:$B$42)-MIN(ROW('03.Muestra'!$D$8:$D$42))+1,""),ROW()-1386)),"")</f>
        <v>13</v>
      </c>
      <c r="B1399" s="85" t="str" cm="1">
        <f t="array" ref="B1399">IFERROR(INDEX('03.Muestra'!$C$8:$C$42,SMALL(IF("Página Web"='03.Muestra'!$D$8:$D$42,ROW('03.Muestra'!$C$8:$C$42)-MIN(ROW('03.Muestra'!$D$8:$D$42))+1,""),ROW()-1386)),"")</f>
        <v>Simulación método D'Hondt</v>
      </c>
      <c r="C1399" s="85" t="str" cm="1">
        <f t="array" ref="C1399">IFERROR(INDEX('03.Muestra'!$F$8:$F$42,SMALL(IF("Página Web"='03.Muestra'!$D$8:$D$42,ROW('03.Muestra'!$F$8:$F$42)-MIN(ROW('03.Muestra'!$D$8:$D$42))+1,""),ROW()-1386)),"")</f>
        <v>https://elecciones.comunidad.madrid/es/informacion-util/simulacion-metodo-dhondt</v>
      </c>
      <c r="D1399" s="99" t="s">
        <v>174</v>
      </c>
      <c r="E1399" s="79" t="str">
        <f t="shared" si="72"/>
        <v/>
      </c>
      <c r="F1399" s="18"/>
      <c r="G1399" s="18"/>
      <c r="H1399" s="18"/>
      <c r="I1399" s="18"/>
      <c r="J1399" s="18"/>
      <c r="K1399" s="184"/>
      <c r="L1399" s="18"/>
    </row>
    <row r="1400" spans="1:12" ht="12" customHeight="1">
      <c r="A1400" s="39" cm="1">
        <f t="array" ref="A1400">IFERROR(INDEX('03.Muestra'!$B$8:$B$42,SMALL(IF("Página Web"='03.Muestra'!$D$8:$D$42,ROW('03.Muestra'!$B$8:$B$42)-MIN(ROW('03.Muestra'!$D$8:$D$42))+1,""),ROW()-1386)),"")</f>
        <v>14</v>
      </c>
      <c r="B1400" s="85" t="str" cm="1">
        <f t="array" ref="B1400">IFERROR(INDEX('03.Muestra'!$C$8:$C$42,SMALL(IF("Página Web"='03.Muestra'!$D$8:$D$42,ROW('03.Muestra'!$C$8:$C$42)-MIN(ROW('03.Muestra'!$D$8:$D$42))+1,""),ROW()-1386)),"")</f>
        <v>Ley D'Hondt</v>
      </c>
      <c r="C1400" s="85" t="str" cm="1">
        <f t="array" ref="C1400">IFERROR(INDEX('03.Muestra'!$F$8:$F$42,SMALL(IF("Página Web"='03.Muestra'!$D$8:$D$42,ROW('03.Muestra'!$F$8:$F$42)-MIN(ROW('03.Muestra'!$D$8:$D$42))+1,""),ROW()-1386)),"")</f>
        <v>https://elecciones.comunidad.madrid/es/resultados/ley_d_hondt</v>
      </c>
      <c r="D1400" s="99" t="s">
        <v>174</v>
      </c>
      <c r="E1400" s="79" t="str">
        <f t="shared" si="72"/>
        <v/>
      </c>
      <c r="F1400" s="18"/>
      <c r="G1400" s="18"/>
      <c r="H1400" s="18"/>
      <c r="I1400" s="18"/>
      <c r="J1400" s="18"/>
      <c r="K1400" s="184"/>
      <c r="L1400" s="18"/>
    </row>
    <row r="1401" spans="1:12" ht="12" customHeight="1">
      <c r="A1401" s="39" cm="1">
        <f t="array" ref="A1401">IFERROR(INDEX('03.Muestra'!$B$8:$B$42,SMALL(IF("Página Web"='03.Muestra'!$D$8:$D$42,ROW('03.Muestra'!$B$8:$B$42)-MIN(ROW('03.Muestra'!$D$8:$D$42))+1,""),ROW()-1386)),"")</f>
        <v>15</v>
      </c>
      <c r="B1401" s="85" t="str" cm="1">
        <f t="array" ref="B1401">IFERROR(INDEX('03.Muestra'!$C$8:$C$42,SMALL(IF("Página Web"='03.Muestra'!$D$8:$D$42,ROW('03.Muestra'!$C$8:$C$42)-MIN(ROW('03.Muestra'!$D$8:$D$42))+1,""),ROW()-1386)),"")</f>
        <v>Voto por correo elector CERA en España</v>
      </c>
      <c r="C1401" s="85" t="str" cm="1">
        <f t="array" ref="C1401">IFERROR(INDEX('03.Muestra'!$F$8:$F$42,SMALL(IF("Página Web"='03.Muestra'!$D$8:$D$42,ROW('03.Muestra'!$F$8:$F$42)-MIN(ROW('03.Muestra'!$D$8:$D$42))+1,""),ROW()-1386)),"")</f>
        <v>https://elecciones.comunidad.madrid/es/preguntas-frecuentes/voto-correo-electores-residentes-extranjero</v>
      </c>
      <c r="D1401" s="99" t="s">
        <v>174</v>
      </c>
      <c r="E1401" s="79" t="str">
        <f t="shared" si="72"/>
        <v/>
      </c>
      <c r="F1401" s="18"/>
      <c r="G1401" s="18"/>
      <c r="H1401" s="18"/>
      <c r="I1401" s="18"/>
      <c r="J1401" s="18"/>
      <c r="K1401" s="184"/>
      <c r="L1401" s="18"/>
    </row>
    <row r="1402" spans="1:12" ht="12" customHeight="1">
      <c r="A1402" s="39" cm="1">
        <f t="array" ref="A1402">IFERROR(INDEX('03.Muestra'!$B$8:$B$42,SMALL(IF("Página Web"='03.Muestra'!$D$8:$D$42,ROW('03.Muestra'!$B$8:$B$42)-MIN(ROW('03.Muestra'!$D$8:$D$42))+1,""),ROW()-1386)),"")</f>
        <v>16</v>
      </c>
      <c r="B1402" s="85" t="str" cm="1">
        <f t="array" ref="B1402">IFERROR(INDEX('03.Muestra'!$C$8:$C$42,SMALL(IF("Página Web"='03.Muestra'!$D$8:$D$42,ROW('03.Muestra'!$C$8:$C$42)-MIN(ROW('03.Muestra'!$D$8:$D$42))+1,""),ROW()-1386)),"")</f>
        <v>Contacto</v>
      </c>
      <c r="C1402" s="85" t="str" cm="1">
        <f t="array" ref="C1402">IFERROR(INDEX('03.Muestra'!$F$8:$F$42,SMALL(IF("Página Web"='03.Muestra'!$D$8:$D$42,ROW('03.Muestra'!$F$8:$F$42)-MIN(ROW('03.Muestra'!$D$8:$D$42))+1,""),ROW()-1386)),"")</f>
        <v>https://elecciones.comunidad.madrid/es/buzon-de-sugerencias</v>
      </c>
      <c r="D1402" s="99" t="s">
        <v>174</v>
      </c>
      <c r="E1402" s="79" t="str">
        <f t="shared" si="72"/>
        <v/>
      </c>
      <c r="F1402" s="18"/>
      <c r="G1402" s="18"/>
      <c r="H1402" s="18"/>
      <c r="I1402" s="18"/>
      <c r="J1402" s="18"/>
      <c r="K1402" s="184"/>
      <c r="L1402" s="18"/>
    </row>
    <row r="1403" spans="1:12" ht="12" customHeight="1">
      <c r="A1403" s="39" cm="1">
        <f t="array" ref="A1403">IFERROR(INDEX('03.Muestra'!$B$8:$B$42,SMALL(IF("Página Web"='03.Muestra'!$D$8:$D$42,ROW('03.Muestra'!$B$8:$B$42)-MIN(ROW('03.Muestra'!$D$8:$D$42))+1,""),ROW()-1386)),"")</f>
        <v>17</v>
      </c>
      <c r="B1403" s="85" t="str" cm="1">
        <f t="array" ref="B1403">IFERROR(INDEX('03.Muestra'!$C$8:$C$42,SMALL(IF("Página Web"='03.Muestra'!$D$8:$D$42,ROW('03.Muestra'!$C$8:$C$42)-MIN(ROW('03.Muestra'!$D$8:$D$42))+1,""),ROW()-1386)),"")</f>
        <v>Buscador</v>
      </c>
      <c r="C1403" s="85" t="str" cm="1">
        <f t="array" ref="C1403">IFERROR(INDEX('03.Muestra'!$F$8:$F$42,SMALL(IF("Página Web"='03.Muestra'!$D$8:$D$42,ROW('03.Muestra'!$F$8:$F$42)-MIN(ROW('03.Muestra'!$D$8:$D$42))+1,""),ROW()-1386)),"")</f>
        <v>https://elecciones.comunidad.madrid/es/search?search_api_fulltext=partido</v>
      </c>
      <c r="D1403" s="99" t="s">
        <v>174</v>
      </c>
      <c r="E1403" s="79" t="str">
        <f t="shared" si="72"/>
        <v/>
      </c>
      <c r="F1403" s="18"/>
      <c r="G1403" s="18"/>
      <c r="H1403" s="18"/>
      <c r="I1403" s="18"/>
      <c r="J1403" s="18"/>
      <c r="K1403" s="184"/>
      <c r="L1403" s="18"/>
    </row>
    <row r="1404" spans="1:12" ht="12" customHeight="1">
      <c r="A1404" s="39" cm="1">
        <f t="array" ref="A1404">IFERROR(INDEX('03.Muestra'!$B$8:$B$42,SMALL(IF("Página Web"='03.Muestra'!$D$8:$D$42,ROW('03.Muestra'!$B$8:$B$42)-MIN(ROW('03.Muestra'!$D$8:$D$42))+1,""),ROW()-1386)),"")</f>
        <v>18</v>
      </c>
      <c r="B1404" s="85" t="str" cm="1">
        <f t="array" ref="B1404">IFERROR(INDEX('03.Muestra'!$C$8:$C$42,SMALL(IF("Página Web"='03.Muestra'!$D$8:$D$42,ROW('03.Muestra'!$C$8:$C$42)-MIN(ROW('03.Muestra'!$D$8:$D$42))+1,""),ROW()-1386)),"")</f>
        <v>Aviso Legal-Privacidad</v>
      </c>
      <c r="C1404" s="85" t="str" cm="1">
        <f t="array" ref="C1404">IFERROR(INDEX('03.Muestra'!$F$8:$F$42,SMALL(IF("Página Web"='03.Muestra'!$D$8:$D$42,ROW('03.Muestra'!$F$8:$F$42)-MIN(ROW('03.Muestra'!$D$8:$D$42))+1,""),ROW()-1386)),"")</f>
        <v>https://elecciones.comunidad.madrid/es/aviso-legal</v>
      </c>
      <c r="D1404" s="99" t="s">
        <v>174</v>
      </c>
      <c r="E1404" s="79" t="str">
        <f t="shared" si="72"/>
        <v/>
      </c>
      <c r="F1404" s="18"/>
      <c r="G1404" s="18"/>
      <c r="H1404" s="18"/>
      <c r="I1404" s="18"/>
      <c r="J1404" s="18"/>
      <c r="K1404" s="184"/>
      <c r="L1404" s="18"/>
    </row>
    <row r="1405" spans="1:12" ht="12" customHeight="1">
      <c r="A1405" s="39" cm="1">
        <f t="array" ref="A1405">IFERROR(INDEX('03.Muestra'!$B$8:$B$42,SMALL(IF("Página Web"='03.Muestra'!$D$8:$D$42,ROW('03.Muestra'!$B$8:$B$42)-MIN(ROW('03.Muestra'!$D$8:$D$42))+1,""),ROW()-1386)),"")</f>
        <v>19</v>
      </c>
      <c r="B1405" s="85" t="str" cm="1">
        <f t="array" ref="B1405">IFERROR(INDEX('03.Muestra'!$C$8:$C$42,SMALL(IF("Página Web"='03.Muestra'!$D$8:$D$42,ROW('03.Muestra'!$C$8:$C$42)-MIN(ROW('03.Muestra'!$D$8:$D$42))+1,""),ROW()-1386)),"")</f>
        <v>Mapa Web</v>
      </c>
      <c r="C1405" s="85" t="str" cm="1">
        <f t="array" ref="C1405">IFERROR(INDEX('03.Muestra'!$F$8:$F$42,SMALL(IF("Página Web"='03.Muestra'!$D$8:$D$42,ROW('03.Muestra'!$F$8:$F$42)-MIN(ROW('03.Muestra'!$D$8:$D$42))+1,""),ROW()-1386)),"")</f>
        <v>https://elecciones.comunidad.madrid/es/sitemap</v>
      </c>
      <c r="D1405" s="99" t="s">
        <v>174</v>
      </c>
      <c r="E1405" s="79" t="str">
        <f t="shared" si="72"/>
        <v/>
      </c>
      <c r="F1405" s="18"/>
      <c r="G1405" s="18"/>
      <c r="H1405" s="18"/>
      <c r="I1405" s="18"/>
      <c r="J1405" s="18"/>
      <c r="K1405" s="184"/>
      <c r="L1405" s="18"/>
    </row>
    <row r="1406" spans="1:12" ht="12" customHeight="1">
      <c r="A1406" s="39" cm="1">
        <f t="array" ref="A1406">IFERROR(INDEX('03.Muestra'!$B$8:$B$42,SMALL(IF("Página Web"='03.Muestra'!$D$8:$D$42,ROW('03.Muestra'!$B$8:$B$42)-MIN(ROW('03.Muestra'!$D$8:$D$42))+1,""),ROW()-1386)),"")</f>
        <v>20</v>
      </c>
      <c r="B1406" s="85" t="str" cm="1">
        <f t="array" ref="B1406">IFERROR(INDEX('03.Muestra'!$C$8:$C$42,SMALL(IF("Página Web"='03.Muestra'!$D$8:$D$42,ROW('03.Muestra'!$C$8:$C$42)-MIN(ROW('03.Muestra'!$D$8:$D$42))+1,""),ROW()-1386)),"")</f>
        <v>Declaracion Accesibilidad</v>
      </c>
      <c r="C1406" s="85" t="str" cm="1">
        <f t="array" ref="C1406">IFERROR(INDEX('03.Muestra'!$F$8:$F$42,SMALL(IF("Página Web"='03.Muestra'!$D$8:$D$42,ROW('03.Muestra'!$F$8:$F$42)-MIN(ROW('03.Muestra'!$D$8:$D$42))+1,""),ROW()-1386)),"")</f>
        <v>https://elecciones.comunidad.madrid/es/accesibilidad</v>
      </c>
      <c r="D1406" s="99" t="s">
        <v>174</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ref="D1407:D1421" si="73">IF(AND(B1407&lt;&gt;"",C1407&lt;&gt;""),"N/T","")</f>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181</v>
      </c>
      <c r="B1424" s="23" t="s">
        <v>173</v>
      </c>
      <c r="C1424" s="24" t="s">
        <v>261</v>
      </c>
      <c r="D1424" s="25" t="s">
        <v>183</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Inicio</v>
      </c>
      <c r="C1425" s="85" t="str" cm="1">
        <f t="array" ref="C1425">IFERROR(INDEX('03.Muestra'!$F$8:$F$42,SMALL(IF("Página Web"='03.Muestra'!$D$8:$D$42,ROW('03.Muestra'!$F$8:$F$42)-MIN(ROW('03.Muestra'!$D$8:$D$42))+1,""),ROW()-1424)),"")</f>
        <v>https://elecciones.comunidad.madrid/es</v>
      </c>
      <c r="D1425" s="99" t="s">
        <v>184</v>
      </c>
      <c r="E1425" s="79" t="str">
        <f t="shared" ref="E1425:E1459" si="74">IF(D1425&lt;&gt;"",IF(AND(B1425&lt;&gt;"",C1425&lt;&gt;""),"","ERR"),"")</f>
        <v/>
      </c>
      <c r="F1425" s="86" t="s">
        <v>185</v>
      </c>
      <c r="G1425" s="87" t="s">
        <v>186</v>
      </c>
      <c r="H1425" s="88" t="s">
        <v>184</v>
      </c>
      <c r="I1425" s="89" t="s">
        <v>176</v>
      </c>
      <c r="J1425" s="90" t="s">
        <v>174</v>
      </c>
      <c r="K1425" s="179" t="s">
        <v>180</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Resultado Elecciones 28M 2023</v>
      </c>
      <c r="C1426" s="85" t="str" cm="1">
        <f t="array" ref="C1426">IFERROR(INDEX('03.Muestra'!$F$8:$F$42,SMALL(IF("Página Web"='03.Muestra'!$D$8:$D$42,ROW('03.Muestra'!$F$8:$F$42)-MIN(ROW('03.Muestra'!$D$8:$D$42))+1,""),ROW()-1424)),"")</f>
        <v>https://elecciones.comunidad.madrid/es/resultados-elecciones-asamblea-madrid-28m-2023</v>
      </c>
      <c r="D1426" s="99" t="s">
        <v>184</v>
      </c>
      <c r="E1426" s="79" t="str">
        <f t="shared" si="74"/>
        <v/>
      </c>
      <c r="F1426" s="91">
        <f ca="1">COUNTIF($D1425:INDIRECT("$D" &amp;  SUM(ROW()-1,'03.Muestra'!$D$45)-1),F1425)</f>
        <v>0</v>
      </c>
      <c r="G1426" s="91">
        <f ca="1">COUNTIF($D1425:INDIRECT("$D" &amp;  SUM(ROW()-1,'03.Muestra'!$D$45)-1),G1425)</f>
        <v>0</v>
      </c>
      <c r="H1426" s="91">
        <f ca="1">COUNTIF($D1425:INDIRECT("$D" &amp;  SUM(ROW()-1,'03.Muestra'!$D$45)-1),H1425)</f>
        <v>20</v>
      </c>
      <c r="I1426" s="91">
        <f ca="1">COUNTIF($D1425:INDIRECT("$D" &amp;  SUM(ROW()-1,'03.Muestra'!$D$45)-1),I1425)</f>
        <v>0</v>
      </c>
      <c r="J1426" s="91">
        <f ca="1">COUNTIF($D1425:INDIRECT("$D" &amp;  SUM(ROW()-1,'03.Muestra'!$D$45)-1),J1425)</f>
        <v>0</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Normativa electoral</v>
      </c>
      <c r="C1427" s="85" t="str" cm="1">
        <f t="array" ref="C1427">IFERROR(INDEX('03.Muestra'!$F$8:$F$42,SMALL(IF("Página Web"='03.Muestra'!$D$8:$D$42,ROW('03.Muestra'!$F$8:$F$42)-MIN(ROW('03.Muestra'!$D$8:$D$42))+1,""),ROW()-1424)),"")</f>
        <v>https://elecciones.comunidad.madrid/es/informacion-electoral/normativa-electoral</v>
      </c>
      <c r="D1427" s="99" t="s">
        <v>184</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Calendario electoral</v>
      </c>
      <c r="C1428" s="85" t="str" cm="1">
        <f t="array" ref="C1428">IFERROR(INDEX('03.Muestra'!$F$8:$F$42,SMALL(IF("Página Web"='03.Muestra'!$D$8:$D$42,ROW('03.Muestra'!$F$8:$F$42)-MIN(ROW('03.Muestra'!$D$8:$D$42))+1,""),ROW()-1424)),"")</f>
        <v>https://elecciones.comunidad.madrid/es/informacion-electoral/calendario-electoral</v>
      </c>
      <c r="D1428" s="99" t="s">
        <v>184</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Direcciones y teléfonos</v>
      </c>
      <c r="C1429" s="85" t="str" cm="1">
        <f t="array" ref="C1429">IFERROR(INDEX('03.Muestra'!$F$8:$F$42,SMALL(IF("Página Web"='03.Muestra'!$D$8:$D$42,ROW('03.Muestra'!$F$8:$F$42)-MIN(ROW('03.Muestra'!$D$8:$D$42))+1,""),ROW()-1424)),"")</f>
        <v>https://elecciones.comunidad.madrid/es/juntas-electorales/direcciones-telefonos</v>
      </c>
      <c r="D1429" s="99" t="s">
        <v>184</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Impresos electrónicos</v>
      </c>
      <c r="C1430" s="85" t="str" cm="1">
        <f t="array" ref="C1430">IFERROR(INDEX('03.Muestra'!$F$8:$F$42,SMALL(IF("Página Web"='03.Muestra'!$D$8:$D$42,ROW('03.Muestra'!$F$8:$F$42)-MIN(ROW('03.Muestra'!$D$8:$D$42))+1,""),ROW()-1424)),"")</f>
        <v>https://elecciones.comunidad.madrid/es/formaciones-politicas/impresos-electronicos</v>
      </c>
      <c r="D1430" s="99" t="s">
        <v>184</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Listado de candidaturas</v>
      </c>
      <c r="C1431" s="85" t="str" cm="1">
        <f t="array" ref="C1431">IFERROR(INDEX('03.Muestra'!$F$8:$F$42,SMALL(IF("Página Web"='03.Muestra'!$D$8:$D$42,ROW('03.Muestra'!$F$8:$F$42)-MIN(ROW('03.Muestra'!$D$8:$D$42))+1,""),ROW()-1424)),"")</f>
        <v>https://elecciones.comunidad.madrid/es/formaciones-politicas/listado-candidaturas-proclamadas</v>
      </c>
      <c r="D1431" s="99" t="s">
        <v>184</v>
      </c>
      <c r="E1431" s="79" t="str">
        <f t="shared" si="74"/>
        <v/>
      </c>
      <c r="F1431" s="18"/>
      <c r="G1431" s="18"/>
      <c r="H1431" s="18"/>
      <c r="I1431" s="18"/>
      <c r="J1431" s="18"/>
      <c r="K1431" s="184"/>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Partido Feminista de España</v>
      </c>
      <c r="C1432" s="85" t="str" cm="1">
        <f t="array" ref="C1432">IFERROR(INDEX('03.Muestra'!$F$8:$F$42,SMALL(IF("Página Web"='03.Muestra'!$D$8:$D$42,ROW('03.Muestra'!$F$8:$F$42)-MIN(ROW('03.Muestra'!$D$8:$D$42))+1,""),ROW()-1424)),"")</f>
        <v>https://elecciones.comunidad.madrid/es/formaciones-politicas/listado-candidaturas/partido-feminista-espana</v>
      </c>
      <c r="D1432" s="99" t="s">
        <v>184</v>
      </c>
      <c r="E1432" s="79" t="str">
        <f t="shared" si="74"/>
        <v/>
      </c>
      <c r="F1432" s="18"/>
      <c r="G1432" s="18"/>
      <c r="H1432" s="18"/>
      <c r="I1432" s="18"/>
      <c r="J1432" s="18"/>
      <c r="K1432" s="184"/>
      <c r="L1432" s="18"/>
    </row>
    <row r="1433" spans="1:12" ht="12" customHeight="1">
      <c r="A1433" s="39" cm="1">
        <f t="array" ref="A1433">IFERROR(INDEX('03.Muestra'!$B$8:$B$42,SMALL(IF("Página Web"='03.Muestra'!$D$8:$D$42,ROW('03.Muestra'!$B$8:$B$42)-MIN(ROW('03.Muestra'!$D$8:$D$42))+1,""),ROW()-1424)),"")</f>
        <v>9</v>
      </c>
      <c r="B1433" s="85" t="str" cm="1">
        <f t="array" ref="B1433">IFERROR(INDEX('03.Muestra'!$C$8:$C$42,SMALL(IF("Página Web"='03.Muestra'!$D$8:$D$42,ROW('03.Muestra'!$C$8:$C$42)-MIN(ROW('03.Muestra'!$D$8:$D$42))+1,""),ROW()-1424)),"")</f>
        <v>¿Dónde voto?</v>
      </c>
      <c r="C1433" s="85" t="str" cm="1">
        <f t="array" ref="C1433">IFERROR(INDEX('03.Muestra'!$F$8:$F$42,SMALL(IF("Página Web"='03.Muestra'!$D$8:$D$42,ROW('03.Muestra'!$F$8:$F$42)-MIN(ROW('03.Muestra'!$D$8:$D$42))+1,""),ROW()-1424)),"")</f>
        <v>https://elecciones.comunidad.madrid/es/votar/donde-voto</v>
      </c>
      <c r="D1433" s="99" t="s">
        <v>184</v>
      </c>
      <c r="E1433" s="79" t="str">
        <f t="shared" si="74"/>
        <v/>
      </c>
      <c r="F1433" s="18"/>
      <c r="G1433" s="18"/>
      <c r="H1433" s="18"/>
      <c r="I1433" s="18"/>
      <c r="J1433" s="18"/>
      <c r="K1433" s="184"/>
      <c r="L1433" s="18"/>
    </row>
    <row r="1434" spans="1:12" ht="12" customHeight="1">
      <c r="A1434" s="39" cm="1">
        <f t="array" ref="A1434">IFERROR(INDEX('03.Muestra'!$B$8:$B$42,SMALL(IF("Página Web"='03.Muestra'!$D$8:$D$42,ROW('03.Muestra'!$B$8:$B$42)-MIN(ROW('03.Muestra'!$D$8:$D$42))+1,""),ROW()-1424)),"")</f>
        <v>10</v>
      </c>
      <c r="B1434" s="85" t="str" cm="1">
        <f t="array" ref="B1434">IFERROR(INDEX('03.Muestra'!$C$8:$C$42,SMALL(IF("Página Web"='03.Muestra'!$D$8:$D$42,ROW('03.Muestra'!$C$8:$C$42)-MIN(ROW('03.Muestra'!$D$8:$D$42))+1,""),ROW()-1424)),"")</f>
        <v>Voto presencial</v>
      </c>
      <c r="C1434" s="85" t="str" cm="1">
        <f t="array" ref="C1434">IFERROR(INDEX('03.Muestra'!$F$8:$F$42,SMALL(IF("Página Web"='03.Muestra'!$D$8:$D$42,ROW('03.Muestra'!$F$8:$F$42)-MIN(ROW('03.Muestra'!$D$8:$D$42))+1,""),ROW()-1424)),"")</f>
        <v>https://elecciones.comunidad.madrid/es/voto-local-electoral/voto-presencial</v>
      </c>
      <c r="D1434" s="99" t="s">
        <v>184</v>
      </c>
      <c r="E1434" s="79" t="str">
        <f t="shared" si="74"/>
        <v/>
      </c>
      <c r="F1434" s="18"/>
      <c r="G1434" s="18"/>
      <c r="H1434" s="18"/>
      <c r="I1434" s="18"/>
      <c r="J1434" s="18"/>
      <c r="K1434" s="184"/>
      <c r="L1434" s="18"/>
    </row>
    <row r="1435" spans="1:12" ht="12" customHeight="1">
      <c r="A1435" s="39" cm="1">
        <f t="array" ref="A1435">IFERROR(INDEX('03.Muestra'!$B$8:$B$42,SMALL(IF("Página Web"='03.Muestra'!$D$8:$D$42,ROW('03.Muestra'!$B$8:$B$42)-MIN(ROW('03.Muestra'!$D$8:$D$42))+1,""),ROW()-1424)),"")</f>
        <v>11</v>
      </c>
      <c r="B1435" s="85" t="str" cm="1">
        <f t="array" ref="B1435">IFERROR(INDEX('03.Muestra'!$C$8:$C$42,SMALL(IF("Página Web"='03.Muestra'!$D$8:$D$42,ROW('03.Muestra'!$C$8:$C$42)-MIN(ROW('03.Muestra'!$D$8:$D$42))+1,""),ROW()-1424)),"")</f>
        <v>Ciudadanos temporalmente en el extranjero</v>
      </c>
      <c r="C1435" s="85" t="str" cm="1">
        <f t="array" ref="C1435">IFERROR(INDEX('03.Muestra'!$F$8:$F$42,SMALL(IF("Página Web"='03.Muestra'!$D$8:$D$42,ROW('03.Muestra'!$F$8:$F$42)-MIN(ROW('03.Muestra'!$D$8:$D$42))+1,""),ROW()-1424)),"")</f>
        <v>https://elecciones.comunidad.madrid/es/voto-correo/solicitud-voto-temporalmente-ausentes</v>
      </c>
      <c r="D1435" s="99" t="s">
        <v>184</v>
      </c>
      <c r="E1435" s="79" t="str">
        <f t="shared" si="74"/>
        <v/>
      </c>
      <c r="F1435" s="18"/>
      <c r="G1435" s="18"/>
      <c r="H1435" s="18"/>
      <c r="I1435" s="18"/>
      <c r="J1435" s="18"/>
      <c r="K1435" s="184"/>
      <c r="L1435" s="18"/>
    </row>
    <row r="1436" spans="1:12" ht="12" customHeight="1">
      <c r="A1436" s="39" cm="1">
        <f t="array" ref="A1436">IFERROR(INDEX('03.Muestra'!$B$8:$B$42,SMALL(IF("Página Web"='03.Muestra'!$D$8:$D$42,ROW('03.Muestra'!$B$8:$B$42)-MIN(ROW('03.Muestra'!$D$8:$D$42))+1,""),ROW()-1424)),"")</f>
        <v>12</v>
      </c>
      <c r="B1436" s="85" t="str" cm="1">
        <f t="array" ref="B1436">IFERROR(INDEX('03.Muestra'!$C$8:$C$42,SMALL(IF("Página Web"='03.Muestra'!$D$8:$D$42,ROW('03.Muestra'!$C$8:$C$42)-MIN(ROW('03.Muestra'!$D$8:$D$42))+1,""),ROW()-1424)),"")</f>
        <v>Nuevo votante</v>
      </c>
      <c r="C1436" s="85" t="str" cm="1">
        <f t="array" ref="C1436">IFERROR(INDEX('03.Muestra'!$F$8:$F$42,SMALL(IF("Página Web"='03.Muestra'!$D$8:$D$42,ROW('03.Muestra'!$F$8:$F$42)-MIN(ROW('03.Muestra'!$D$8:$D$42))+1,""),ROW()-1424)),"")</f>
        <v>https://elecciones.comunidad.madrid/es/votar/nuevo-votante</v>
      </c>
      <c r="D1436" s="99" t="s">
        <v>184</v>
      </c>
      <c r="E1436" s="79" t="str">
        <f t="shared" si="74"/>
        <v/>
      </c>
      <c r="F1436" s="18"/>
      <c r="G1436" s="18"/>
      <c r="H1436" s="18"/>
      <c r="I1436" s="18"/>
      <c r="J1436" s="18"/>
      <c r="K1436" s="184"/>
      <c r="L1436" s="18"/>
    </row>
    <row r="1437" spans="1:12" ht="12" customHeight="1">
      <c r="A1437" s="39" cm="1">
        <f t="array" ref="A1437">IFERROR(INDEX('03.Muestra'!$B$8:$B$42,SMALL(IF("Página Web"='03.Muestra'!$D$8:$D$42,ROW('03.Muestra'!$B$8:$B$42)-MIN(ROW('03.Muestra'!$D$8:$D$42))+1,""),ROW()-1424)),"")</f>
        <v>13</v>
      </c>
      <c r="B1437" s="85" t="str" cm="1">
        <f t="array" ref="B1437">IFERROR(INDEX('03.Muestra'!$C$8:$C$42,SMALL(IF("Página Web"='03.Muestra'!$D$8:$D$42,ROW('03.Muestra'!$C$8:$C$42)-MIN(ROW('03.Muestra'!$D$8:$D$42))+1,""),ROW()-1424)),"")</f>
        <v>Simulación método D'Hondt</v>
      </c>
      <c r="C1437" s="85" t="str" cm="1">
        <f t="array" ref="C1437">IFERROR(INDEX('03.Muestra'!$F$8:$F$42,SMALL(IF("Página Web"='03.Muestra'!$D$8:$D$42,ROW('03.Muestra'!$F$8:$F$42)-MIN(ROW('03.Muestra'!$D$8:$D$42))+1,""),ROW()-1424)),"")</f>
        <v>https://elecciones.comunidad.madrid/es/informacion-util/simulacion-metodo-dhondt</v>
      </c>
      <c r="D1437" s="99" t="s">
        <v>184</v>
      </c>
      <c r="E1437" s="79" t="str">
        <f t="shared" si="74"/>
        <v/>
      </c>
      <c r="F1437" s="18"/>
      <c r="G1437" s="18"/>
      <c r="H1437" s="18"/>
      <c r="I1437" s="18"/>
      <c r="J1437" s="18"/>
      <c r="K1437" s="184"/>
      <c r="L1437" s="18"/>
    </row>
    <row r="1438" spans="1:12" ht="12" customHeight="1">
      <c r="A1438" s="39" cm="1">
        <f t="array" ref="A1438">IFERROR(INDEX('03.Muestra'!$B$8:$B$42,SMALL(IF("Página Web"='03.Muestra'!$D$8:$D$42,ROW('03.Muestra'!$B$8:$B$42)-MIN(ROW('03.Muestra'!$D$8:$D$42))+1,""),ROW()-1424)),"")</f>
        <v>14</v>
      </c>
      <c r="B1438" s="85" t="str" cm="1">
        <f t="array" ref="B1438">IFERROR(INDEX('03.Muestra'!$C$8:$C$42,SMALL(IF("Página Web"='03.Muestra'!$D$8:$D$42,ROW('03.Muestra'!$C$8:$C$42)-MIN(ROW('03.Muestra'!$D$8:$D$42))+1,""),ROW()-1424)),"")</f>
        <v>Ley D'Hondt</v>
      </c>
      <c r="C1438" s="85" t="str" cm="1">
        <f t="array" ref="C1438">IFERROR(INDEX('03.Muestra'!$F$8:$F$42,SMALL(IF("Página Web"='03.Muestra'!$D$8:$D$42,ROW('03.Muestra'!$F$8:$F$42)-MIN(ROW('03.Muestra'!$D$8:$D$42))+1,""),ROW()-1424)),"")</f>
        <v>https://elecciones.comunidad.madrid/es/resultados/ley_d_hondt</v>
      </c>
      <c r="D1438" s="99" t="s">
        <v>184</v>
      </c>
      <c r="E1438" s="79" t="str">
        <f t="shared" si="74"/>
        <v/>
      </c>
      <c r="F1438" s="18"/>
      <c r="G1438" s="18"/>
      <c r="H1438" s="18"/>
      <c r="I1438" s="18"/>
      <c r="J1438" s="18"/>
      <c r="K1438" s="184"/>
      <c r="L1438" s="18"/>
    </row>
    <row r="1439" spans="1:12" ht="12" customHeight="1">
      <c r="A1439" s="39" cm="1">
        <f t="array" ref="A1439">IFERROR(INDEX('03.Muestra'!$B$8:$B$42,SMALL(IF("Página Web"='03.Muestra'!$D$8:$D$42,ROW('03.Muestra'!$B$8:$B$42)-MIN(ROW('03.Muestra'!$D$8:$D$42))+1,""),ROW()-1424)),"")</f>
        <v>15</v>
      </c>
      <c r="B1439" s="85" t="str" cm="1">
        <f t="array" ref="B1439">IFERROR(INDEX('03.Muestra'!$C$8:$C$42,SMALL(IF("Página Web"='03.Muestra'!$D$8:$D$42,ROW('03.Muestra'!$C$8:$C$42)-MIN(ROW('03.Muestra'!$D$8:$D$42))+1,""),ROW()-1424)),"")</f>
        <v>Voto por correo elector CERA en España</v>
      </c>
      <c r="C1439" s="85" t="str" cm="1">
        <f t="array" ref="C1439">IFERROR(INDEX('03.Muestra'!$F$8:$F$42,SMALL(IF("Página Web"='03.Muestra'!$D$8:$D$42,ROW('03.Muestra'!$F$8:$F$42)-MIN(ROW('03.Muestra'!$D$8:$D$42))+1,""),ROW()-1424)),"")</f>
        <v>https://elecciones.comunidad.madrid/es/preguntas-frecuentes/voto-correo-electores-residentes-extranjero</v>
      </c>
      <c r="D1439" s="99" t="s">
        <v>184</v>
      </c>
      <c r="E1439" s="79" t="str">
        <f t="shared" si="74"/>
        <v/>
      </c>
      <c r="F1439" s="18"/>
      <c r="G1439" s="18"/>
      <c r="H1439" s="18"/>
      <c r="I1439" s="18"/>
      <c r="J1439" s="18"/>
      <c r="K1439" s="184"/>
      <c r="L1439" s="18"/>
    </row>
    <row r="1440" spans="1:12" ht="12" customHeight="1">
      <c r="A1440" s="39" cm="1">
        <f t="array" ref="A1440">IFERROR(INDEX('03.Muestra'!$B$8:$B$42,SMALL(IF("Página Web"='03.Muestra'!$D$8:$D$42,ROW('03.Muestra'!$B$8:$B$42)-MIN(ROW('03.Muestra'!$D$8:$D$42))+1,""),ROW()-1424)),"")</f>
        <v>16</v>
      </c>
      <c r="B1440" s="85" t="str" cm="1">
        <f t="array" ref="B1440">IFERROR(INDEX('03.Muestra'!$C$8:$C$42,SMALL(IF("Página Web"='03.Muestra'!$D$8:$D$42,ROW('03.Muestra'!$C$8:$C$42)-MIN(ROW('03.Muestra'!$D$8:$D$42))+1,""),ROW()-1424)),"")</f>
        <v>Contacto</v>
      </c>
      <c r="C1440" s="85" t="str" cm="1">
        <f t="array" ref="C1440">IFERROR(INDEX('03.Muestra'!$F$8:$F$42,SMALL(IF("Página Web"='03.Muestra'!$D$8:$D$42,ROW('03.Muestra'!$F$8:$F$42)-MIN(ROW('03.Muestra'!$D$8:$D$42))+1,""),ROW()-1424)),"")</f>
        <v>https://elecciones.comunidad.madrid/es/buzon-de-sugerencias</v>
      </c>
      <c r="D1440" s="99" t="s">
        <v>184</v>
      </c>
      <c r="E1440" s="79" t="str">
        <f t="shared" si="74"/>
        <v/>
      </c>
      <c r="F1440" s="18"/>
      <c r="G1440" s="18"/>
      <c r="H1440" s="18"/>
      <c r="I1440" s="18"/>
      <c r="J1440" s="18"/>
      <c r="K1440" s="184"/>
      <c r="L1440" s="18"/>
    </row>
    <row r="1441" spans="1:12" ht="12" customHeight="1">
      <c r="A1441" s="39" cm="1">
        <f t="array" ref="A1441">IFERROR(INDEX('03.Muestra'!$B$8:$B$42,SMALL(IF("Página Web"='03.Muestra'!$D$8:$D$42,ROW('03.Muestra'!$B$8:$B$42)-MIN(ROW('03.Muestra'!$D$8:$D$42))+1,""),ROW()-1424)),"")</f>
        <v>17</v>
      </c>
      <c r="B1441" s="85" t="str" cm="1">
        <f t="array" ref="B1441">IFERROR(INDEX('03.Muestra'!$C$8:$C$42,SMALL(IF("Página Web"='03.Muestra'!$D$8:$D$42,ROW('03.Muestra'!$C$8:$C$42)-MIN(ROW('03.Muestra'!$D$8:$D$42))+1,""),ROW()-1424)),"")</f>
        <v>Buscador</v>
      </c>
      <c r="C1441" s="85" t="str" cm="1">
        <f t="array" ref="C1441">IFERROR(INDEX('03.Muestra'!$F$8:$F$42,SMALL(IF("Página Web"='03.Muestra'!$D$8:$D$42,ROW('03.Muestra'!$F$8:$F$42)-MIN(ROW('03.Muestra'!$D$8:$D$42))+1,""),ROW()-1424)),"")</f>
        <v>https://elecciones.comunidad.madrid/es/search?search_api_fulltext=partido</v>
      </c>
      <c r="D1441" s="99" t="s">
        <v>184</v>
      </c>
      <c r="E1441" s="79" t="str">
        <f t="shared" si="74"/>
        <v/>
      </c>
      <c r="F1441" s="18"/>
      <c r="G1441" s="18"/>
      <c r="H1441" s="18"/>
      <c r="I1441" s="18"/>
      <c r="J1441" s="18"/>
      <c r="K1441" s="184"/>
      <c r="L1441" s="18"/>
    </row>
    <row r="1442" spans="1:12" ht="12" customHeight="1">
      <c r="A1442" s="39" cm="1">
        <f t="array" ref="A1442">IFERROR(INDEX('03.Muestra'!$B$8:$B$42,SMALL(IF("Página Web"='03.Muestra'!$D$8:$D$42,ROW('03.Muestra'!$B$8:$B$42)-MIN(ROW('03.Muestra'!$D$8:$D$42))+1,""),ROW()-1424)),"")</f>
        <v>18</v>
      </c>
      <c r="B1442" s="85" t="str" cm="1">
        <f t="array" ref="B1442">IFERROR(INDEX('03.Muestra'!$C$8:$C$42,SMALL(IF("Página Web"='03.Muestra'!$D$8:$D$42,ROW('03.Muestra'!$C$8:$C$42)-MIN(ROW('03.Muestra'!$D$8:$D$42))+1,""),ROW()-1424)),"")</f>
        <v>Aviso Legal-Privacidad</v>
      </c>
      <c r="C1442" s="85" t="str" cm="1">
        <f t="array" ref="C1442">IFERROR(INDEX('03.Muestra'!$F$8:$F$42,SMALL(IF("Página Web"='03.Muestra'!$D$8:$D$42,ROW('03.Muestra'!$F$8:$F$42)-MIN(ROW('03.Muestra'!$D$8:$D$42))+1,""),ROW()-1424)),"")</f>
        <v>https://elecciones.comunidad.madrid/es/aviso-legal</v>
      </c>
      <c r="D1442" s="99" t="s">
        <v>184</v>
      </c>
      <c r="E1442" s="79" t="str">
        <f t="shared" si="74"/>
        <v/>
      </c>
      <c r="F1442" s="18"/>
      <c r="G1442" s="18"/>
      <c r="H1442" s="18"/>
      <c r="I1442" s="18"/>
      <c r="J1442" s="18"/>
      <c r="K1442" s="184"/>
      <c r="L1442" s="18"/>
    </row>
    <row r="1443" spans="1:12" ht="12" customHeight="1">
      <c r="A1443" s="39" cm="1">
        <f t="array" ref="A1443">IFERROR(INDEX('03.Muestra'!$B$8:$B$42,SMALL(IF("Página Web"='03.Muestra'!$D$8:$D$42,ROW('03.Muestra'!$B$8:$B$42)-MIN(ROW('03.Muestra'!$D$8:$D$42))+1,""),ROW()-1424)),"")</f>
        <v>19</v>
      </c>
      <c r="B1443" s="85" t="str" cm="1">
        <f t="array" ref="B1443">IFERROR(INDEX('03.Muestra'!$C$8:$C$42,SMALL(IF("Página Web"='03.Muestra'!$D$8:$D$42,ROW('03.Muestra'!$C$8:$C$42)-MIN(ROW('03.Muestra'!$D$8:$D$42))+1,""),ROW()-1424)),"")</f>
        <v>Mapa Web</v>
      </c>
      <c r="C1443" s="85" t="str" cm="1">
        <f t="array" ref="C1443">IFERROR(INDEX('03.Muestra'!$F$8:$F$42,SMALL(IF("Página Web"='03.Muestra'!$D$8:$D$42,ROW('03.Muestra'!$F$8:$F$42)-MIN(ROW('03.Muestra'!$D$8:$D$42))+1,""),ROW()-1424)),"")</f>
        <v>https://elecciones.comunidad.madrid/es/sitemap</v>
      </c>
      <c r="D1443" s="99" t="s">
        <v>184</v>
      </c>
      <c r="E1443" s="79" t="str">
        <f t="shared" si="74"/>
        <v/>
      </c>
      <c r="F1443" s="18"/>
      <c r="G1443" s="18"/>
      <c r="H1443" s="18"/>
      <c r="I1443" s="18"/>
      <c r="J1443" s="18"/>
      <c r="K1443" s="184"/>
      <c r="L1443" s="18"/>
    </row>
    <row r="1444" spans="1:12" ht="12" customHeight="1">
      <c r="A1444" s="39" cm="1">
        <f t="array" ref="A1444">IFERROR(INDEX('03.Muestra'!$B$8:$B$42,SMALL(IF("Página Web"='03.Muestra'!$D$8:$D$42,ROW('03.Muestra'!$B$8:$B$42)-MIN(ROW('03.Muestra'!$D$8:$D$42))+1,""),ROW()-1424)),"")</f>
        <v>20</v>
      </c>
      <c r="B1444" s="85" t="str" cm="1">
        <f t="array" ref="B1444">IFERROR(INDEX('03.Muestra'!$C$8:$C$42,SMALL(IF("Página Web"='03.Muestra'!$D$8:$D$42,ROW('03.Muestra'!$C$8:$C$42)-MIN(ROW('03.Muestra'!$D$8:$D$42))+1,""),ROW()-1424)),"")</f>
        <v>Declaracion Accesibilidad</v>
      </c>
      <c r="C1444" s="85" t="str" cm="1">
        <f t="array" ref="C1444">IFERROR(INDEX('03.Muestra'!$F$8:$F$42,SMALL(IF("Página Web"='03.Muestra'!$D$8:$D$42,ROW('03.Muestra'!$F$8:$F$42)-MIN(ROW('03.Muestra'!$D$8:$D$42))+1,""),ROW()-1424)),"")</f>
        <v>https://elecciones.comunidad.madrid/es/accesibilidad</v>
      </c>
      <c r="D1444" s="99" t="s">
        <v>184</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ref="D1445:D1459" si="75">IF(AND(B1445&lt;&gt;"",C1445&lt;&gt;""),"N/T","")</f>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181</v>
      </c>
      <c r="B1462" s="23" t="s">
        <v>173</v>
      </c>
      <c r="C1462" s="24" t="s">
        <v>262</v>
      </c>
      <c r="D1462" s="25" t="s">
        <v>183</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Inicio</v>
      </c>
      <c r="C1463" s="85" t="str" cm="1">
        <f t="array" ref="C1463">IFERROR(INDEX('03.Muestra'!$F$8:$F$42,SMALL(IF("Página Web"='03.Muestra'!$D$8:$D$42,ROW('03.Muestra'!$F$8:$F$42)-MIN(ROW('03.Muestra'!$D$8:$D$42))+1,""),ROW()-1462)),"")</f>
        <v>https://elecciones.comunidad.madrid/es</v>
      </c>
      <c r="D1463" s="99" t="s">
        <v>174</v>
      </c>
      <c r="E1463" s="79" t="str">
        <f t="shared" ref="E1463:E1497" si="76">IF(D1463&lt;&gt;"",IF(AND(B1463&lt;&gt;"",C1463&lt;&gt;""),"","ERR"),"")</f>
        <v/>
      </c>
      <c r="F1463" s="86" t="s">
        <v>185</v>
      </c>
      <c r="G1463" s="87" t="s">
        <v>186</v>
      </c>
      <c r="H1463" s="88" t="s">
        <v>184</v>
      </c>
      <c r="I1463" s="89" t="s">
        <v>176</v>
      </c>
      <c r="J1463" s="90" t="s">
        <v>174</v>
      </c>
      <c r="K1463" s="179" t="s">
        <v>180</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Resultado Elecciones 28M 2023</v>
      </c>
      <c r="C1464" s="85" t="str" cm="1">
        <f t="array" ref="C1464">IFERROR(INDEX('03.Muestra'!$F$8:$F$42,SMALL(IF("Página Web"='03.Muestra'!$D$8:$D$42,ROW('03.Muestra'!$F$8:$F$42)-MIN(ROW('03.Muestra'!$D$8:$D$42))+1,""),ROW()-1462)),"")</f>
        <v>https://elecciones.comunidad.madrid/es/resultados-elecciones-asamblea-madrid-28m-2023</v>
      </c>
      <c r="D1464" s="99" t="s">
        <v>174</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20</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Normativa electoral</v>
      </c>
      <c r="C1465" s="85" t="str" cm="1">
        <f t="array" ref="C1465">IFERROR(INDEX('03.Muestra'!$F$8:$F$42,SMALL(IF("Página Web"='03.Muestra'!$D$8:$D$42,ROW('03.Muestra'!$F$8:$F$42)-MIN(ROW('03.Muestra'!$D$8:$D$42))+1,""),ROW()-1462)),"")</f>
        <v>https://elecciones.comunidad.madrid/es/informacion-electoral/normativa-electoral</v>
      </c>
      <c r="D1465" s="99" t="s">
        <v>174</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Calendario electoral</v>
      </c>
      <c r="C1466" s="85" t="str" cm="1">
        <f t="array" ref="C1466">IFERROR(INDEX('03.Muestra'!$F$8:$F$42,SMALL(IF("Página Web"='03.Muestra'!$D$8:$D$42,ROW('03.Muestra'!$F$8:$F$42)-MIN(ROW('03.Muestra'!$D$8:$D$42))+1,""),ROW()-1462)),"")</f>
        <v>https://elecciones.comunidad.madrid/es/informacion-electoral/calendario-electoral</v>
      </c>
      <c r="D1466" s="99" t="s">
        <v>174</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Direcciones y teléfonos</v>
      </c>
      <c r="C1467" s="85" t="str" cm="1">
        <f t="array" ref="C1467">IFERROR(INDEX('03.Muestra'!$F$8:$F$42,SMALL(IF("Página Web"='03.Muestra'!$D$8:$D$42,ROW('03.Muestra'!$F$8:$F$42)-MIN(ROW('03.Muestra'!$D$8:$D$42))+1,""),ROW()-1462)),"")</f>
        <v>https://elecciones.comunidad.madrid/es/juntas-electorales/direcciones-telefonos</v>
      </c>
      <c r="D1467" s="99" t="s">
        <v>174</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Impresos electrónicos</v>
      </c>
      <c r="C1468" s="85" t="str" cm="1">
        <f t="array" ref="C1468">IFERROR(INDEX('03.Muestra'!$F$8:$F$42,SMALL(IF("Página Web"='03.Muestra'!$D$8:$D$42,ROW('03.Muestra'!$F$8:$F$42)-MIN(ROW('03.Muestra'!$D$8:$D$42))+1,""),ROW()-1462)),"")</f>
        <v>https://elecciones.comunidad.madrid/es/formaciones-politicas/impresos-electronicos</v>
      </c>
      <c r="D1468" s="99" t="s">
        <v>174</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Listado de candidaturas</v>
      </c>
      <c r="C1469" s="85" t="str" cm="1">
        <f t="array" ref="C1469">IFERROR(INDEX('03.Muestra'!$F$8:$F$42,SMALL(IF("Página Web"='03.Muestra'!$D$8:$D$42,ROW('03.Muestra'!$F$8:$F$42)-MIN(ROW('03.Muestra'!$D$8:$D$42))+1,""),ROW()-1462)),"")</f>
        <v>https://elecciones.comunidad.madrid/es/formaciones-politicas/listado-candidaturas-proclamadas</v>
      </c>
      <c r="D1469" s="99" t="s">
        <v>174</v>
      </c>
      <c r="E1469" s="79" t="str">
        <f t="shared" si="76"/>
        <v/>
      </c>
      <c r="F1469" s="18"/>
      <c r="G1469" s="18"/>
      <c r="H1469" s="18"/>
      <c r="I1469" s="18"/>
      <c r="J1469" s="18"/>
      <c r="K1469" s="184"/>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Partido Feminista de España</v>
      </c>
      <c r="C1470" s="85" t="str" cm="1">
        <f t="array" ref="C1470">IFERROR(INDEX('03.Muestra'!$F$8:$F$42,SMALL(IF("Página Web"='03.Muestra'!$D$8:$D$42,ROW('03.Muestra'!$F$8:$F$42)-MIN(ROW('03.Muestra'!$D$8:$D$42))+1,""),ROW()-1462)),"")</f>
        <v>https://elecciones.comunidad.madrid/es/formaciones-politicas/listado-candidaturas/partido-feminista-espana</v>
      </c>
      <c r="D1470" s="99" t="s">
        <v>174</v>
      </c>
      <c r="E1470" s="79" t="str">
        <f t="shared" si="76"/>
        <v/>
      </c>
      <c r="F1470" s="18"/>
      <c r="G1470" s="18"/>
      <c r="H1470" s="18"/>
      <c r="I1470" s="18"/>
      <c r="J1470" s="18"/>
      <c r="K1470" s="184"/>
      <c r="L1470" s="18"/>
    </row>
    <row r="1471" spans="1:12" ht="12" customHeight="1">
      <c r="A1471" s="39" cm="1">
        <f t="array" ref="A1471">IFERROR(INDEX('03.Muestra'!$B$8:$B$42,SMALL(IF("Página Web"='03.Muestra'!$D$8:$D$42,ROW('03.Muestra'!$B$8:$B$42)-MIN(ROW('03.Muestra'!$D$8:$D$42))+1,""),ROW()-1462)),"")</f>
        <v>9</v>
      </c>
      <c r="B1471" s="85" t="str" cm="1">
        <f t="array" ref="B1471">IFERROR(INDEX('03.Muestra'!$C$8:$C$42,SMALL(IF("Página Web"='03.Muestra'!$D$8:$D$42,ROW('03.Muestra'!$C$8:$C$42)-MIN(ROW('03.Muestra'!$D$8:$D$42))+1,""),ROW()-1462)),"")</f>
        <v>¿Dónde voto?</v>
      </c>
      <c r="C1471" s="85" t="str" cm="1">
        <f t="array" ref="C1471">IFERROR(INDEX('03.Muestra'!$F$8:$F$42,SMALL(IF("Página Web"='03.Muestra'!$D$8:$D$42,ROW('03.Muestra'!$F$8:$F$42)-MIN(ROW('03.Muestra'!$D$8:$D$42))+1,""),ROW()-1462)),"")</f>
        <v>https://elecciones.comunidad.madrid/es/votar/donde-voto</v>
      </c>
      <c r="D1471" s="99" t="s">
        <v>174</v>
      </c>
      <c r="E1471" s="79" t="str">
        <f t="shared" si="76"/>
        <v/>
      </c>
      <c r="F1471" s="18"/>
      <c r="G1471" s="18"/>
      <c r="H1471" s="18"/>
      <c r="I1471" s="18"/>
      <c r="J1471" s="18"/>
      <c r="K1471" s="184"/>
      <c r="L1471" s="18"/>
    </row>
    <row r="1472" spans="1:12" ht="12" customHeight="1">
      <c r="A1472" s="39" cm="1">
        <f t="array" ref="A1472">IFERROR(INDEX('03.Muestra'!$B$8:$B$42,SMALL(IF("Página Web"='03.Muestra'!$D$8:$D$42,ROW('03.Muestra'!$B$8:$B$42)-MIN(ROW('03.Muestra'!$D$8:$D$42))+1,""),ROW()-1462)),"")</f>
        <v>10</v>
      </c>
      <c r="B1472" s="85" t="str" cm="1">
        <f t="array" ref="B1472">IFERROR(INDEX('03.Muestra'!$C$8:$C$42,SMALL(IF("Página Web"='03.Muestra'!$D$8:$D$42,ROW('03.Muestra'!$C$8:$C$42)-MIN(ROW('03.Muestra'!$D$8:$D$42))+1,""),ROW()-1462)),"")</f>
        <v>Voto presencial</v>
      </c>
      <c r="C1472" s="85" t="str" cm="1">
        <f t="array" ref="C1472">IFERROR(INDEX('03.Muestra'!$F$8:$F$42,SMALL(IF("Página Web"='03.Muestra'!$D$8:$D$42,ROW('03.Muestra'!$F$8:$F$42)-MIN(ROW('03.Muestra'!$D$8:$D$42))+1,""),ROW()-1462)),"")</f>
        <v>https://elecciones.comunidad.madrid/es/voto-local-electoral/voto-presencial</v>
      </c>
      <c r="D1472" s="99" t="s">
        <v>174</v>
      </c>
      <c r="E1472" s="79" t="str">
        <f t="shared" si="76"/>
        <v/>
      </c>
      <c r="F1472" s="18"/>
      <c r="G1472" s="18"/>
      <c r="H1472" s="18"/>
      <c r="I1472" s="18"/>
      <c r="J1472" s="18"/>
      <c r="K1472" s="184"/>
      <c r="L1472" s="18"/>
    </row>
    <row r="1473" spans="1:12" ht="12" customHeight="1">
      <c r="A1473" s="39" cm="1">
        <f t="array" ref="A1473">IFERROR(INDEX('03.Muestra'!$B$8:$B$42,SMALL(IF("Página Web"='03.Muestra'!$D$8:$D$42,ROW('03.Muestra'!$B$8:$B$42)-MIN(ROW('03.Muestra'!$D$8:$D$42))+1,""),ROW()-1462)),"")</f>
        <v>11</v>
      </c>
      <c r="B1473" s="85" t="str" cm="1">
        <f t="array" ref="B1473">IFERROR(INDEX('03.Muestra'!$C$8:$C$42,SMALL(IF("Página Web"='03.Muestra'!$D$8:$D$42,ROW('03.Muestra'!$C$8:$C$42)-MIN(ROW('03.Muestra'!$D$8:$D$42))+1,""),ROW()-1462)),"")</f>
        <v>Ciudadanos temporalmente en el extranjero</v>
      </c>
      <c r="C1473" s="85" t="str" cm="1">
        <f t="array" ref="C1473">IFERROR(INDEX('03.Muestra'!$F$8:$F$42,SMALL(IF("Página Web"='03.Muestra'!$D$8:$D$42,ROW('03.Muestra'!$F$8:$F$42)-MIN(ROW('03.Muestra'!$D$8:$D$42))+1,""),ROW()-1462)),"")</f>
        <v>https://elecciones.comunidad.madrid/es/voto-correo/solicitud-voto-temporalmente-ausentes</v>
      </c>
      <c r="D1473" s="99" t="s">
        <v>174</v>
      </c>
      <c r="E1473" s="79" t="str">
        <f t="shared" si="76"/>
        <v/>
      </c>
      <c r="F1473" s="18"/>
      <c r="G1473" s="18"/>
      <c r="H1473" s="18"/>
      <c r="I1473" s="18"/>
      <c r="J1473" s="18"/>
      <c r="K1473" s="184"/>
      <c r="L1473" s="18"/>
    </row>
    <row r="1474" spans="1:12" ht="12" customHeight="1">
      <c r="A1474" s="39" cm="1">
        <f t="array" ref="A1474">IFERROR(INDEX('03.Muestra'!$B$8:$B$42,SMALL(IF("Página Web"='03.Muestra'!$D$8:$D$42,ROW('03.Muestra'!$B$8:$B$42)-MIN(ROW('03.Muestra'!$D$8:$D$42))+1,""),ROW()-1462)),"")</f>
        <v>12</v>
      </c>
      <c r="B1474" s="85" t="str" cm="1">
        <f t="array" ref="B1474">IFERROR(INDEX('03.Muestra'!$C$8:$C$42,SMALL(IF("Página Web"='03.Muestra'!$D$8:$D$42,ROW('03.Muestra'!$C$8:$C$42)-MIN(ROW('03.Muestra'!$D$8:$D$42))+1,""),ROW()-1462)),"")</f>
        <v>Nuevo votante</v>
      </c>
      <c r="C1474" s="85" t="str" cm="1">
        <f t="array" ref="C1474">IFERROR(INDEX('03.Muestra'!$F$8:$F$42,SMALL(IF("Página Web"='03.Muestra'!$D$8:$D$42,ROW('03.Muestra'!$F$8:$F$42)-MIN(ROW('03.Muestra'!$D$8:$D$42))+1,""),ROW()-1462)),"")</f>
        <v>https://elecciones.comunidad.madrid/es/votar/nuevo-votante</v>
      </c>
      <c r="D1474" s="99" t="s">
        <v>174</v>
      </c>
      <c r="E1474" s="79" t="str">
        <f t="shared" si="76"/>
        <v/>
      </c>
      <c r="F1474" s="18"/>
      <c r="G1474" s="18"/>
      <c r="H1474" s="18"/>
      <c r="I1474" s="18"/>
      <c r="J1474" s="18"/>
      <c r="K1474" s="184"/>
      <c r="L1474" s="18"/>
    </row>
    <row r="1475" spans="1:12" ht="12" customHeight="1">
      <c r="A1475" s="39" cm="1">
        <f t="array" ref="A1475">IFERROR(INDEX('03.Muestra'!$B$8:$B$42,SMALL(IF("Página Web"='03.Muestra'!$D$8:$D$42,ROW('03.Muestra'!$B$8:$B$42)-MIN(ROW('03.Muestra'!$D$8:$D$42))+1,""),ROW()-1462)),"")</f>
        <v>13</v>
      </c>
      <c r="B1475" s="85" t="str" cm="1">
        <f t="array" ref="B1475">IFERROR(INDEX('03.Muestra'!$C$8:$C$42,SMALL(IF("Página Web"='03.Muestra'!$D$8:$D$42,ROW('03.Muestra'!$C$8:$C$42)-MIN(ROW('03.Muestra'!$D$8:$D$42))+1,""),ROW()-1462)),"")</f>
        <v>Simulación método D'Hondt</v>
      </c>
      <c r="C1475" s="85" t="str" cm="1">
        <f t="array" ref="C1475">IFERROR(INDEX('03.Muestra'!$F$8:$F$42,SMALL(IF("Página Web"='03.Muestra'!$D$8:$D$42,ROW('03.Muestra'!$F$8:$F$42)-MIN(ROW('03.Muestra'!$D$8:$D$42))+1,""),ROW()-1462)),"")</f>
        <v>https://elecciones.comunidad.madrid/es/informacion-util/simulacion-metodo-dhondt</v>
      </c>
      <c r="D1475" s="99" t="s">
        <v>174</v>
      </c>
      <c r="E1475" s="79" t="str">
        <f t="shared" si="76"/>
        <v/>
      </c>
      <c r="F1475" s="18"/>
      <c r="G1475" s="18"/>
      <c r="H1475" s="18"/>
      <c r="I1475" s="18"/>
      <c r="J1475" s="18"/>
      <c r="K1475" s="184"/>
      <c r="L1475" s="18"/>
    </row>
    <row r="1476" spans="1:12" ht="12" customHeight="1">
      <c r="A1476" s="39" cm="1">
        <f t="array" ref="A1476">IFERROR(INDEX('03.Muestra'!$B$8:$B$42,SMALL(IF("Página Web"='03.Muestra'!$D$8:$D$42,ROW('03.Muestra'!$B$8:$B$42)-MIN(ROW('03.Muestra'!$D$8:$D$42))+1,""),ROW()-1462)),"")</f>
        <v>14</v>
      </c>
      <c r="B1476" s="85" t="str" cm="1">
        <f t="array" ref="B1476">IFERROR(INDEX('03.Muestra'!$C$8:$C$42,SMALL(IF("Página Web"='03.Muestra'!$D$8:$D$42,ROW('03.Muestra'!$C$8:$C$42)-MIN(ROW('03.Muestra'!$D$8:$D$42))+1,""),ROW()-1462)),"")</f>
        <v>Ley D'Hondt</v>
      </c>
      <c r="C1476" s="85" t="str" cm="1">
        <f t="array" ref="C1476">IFERROR(INDEX('03.Muestra'!$F$8:$F$42,SMALL(IF("Página Web"='03.Muestra'!$D$8:$D$42,ROW('03.Muestra'!$F$8:$F$42)-MIN(ROW('03.Muestra'!$D$8:$D$42))+1,""),ROW()-1462)),"")</f>
        <v>https://elecciones.comunidad.madrid/es/resultados/ley_d_hondt</v>
      </c>
      <c r="D1476" s="99" t="s">
        <v>174</v>
      </c>
      <c r="E1476" s="79" t="str">
        <f t="shared" si="76"/>
        <v/>
      </c>
      <c r="F1476" s="18"/>
      <c r="G1476" s="18"/>
      <c r="H1476" s="18"/>
      <c r="I1476" s="18"/>
      <c r="J1476" s="18"/>
      <c r="K1476" s="184"/>
      <c r="L1476" s="18"/>
    </row>
    <row r="1477" spans="1:12" ht="12" customHeight="1">
      <c r="A1477" s="39" cm="1">
        <f t="array" ref="A1477">IFERROR(INDEX('03.Muestra'!$B$8:$B$42,SMALL(IF("Página Web"='03.Muestra'!$D$8:$D$42,ROW('03.Muestra'!$B$8:$B$42)-MIN(ROW('03.Muestra'!$D$8:$D$42))+1,""),ROW()-1462)),"")</f>
        <v>15</v>
      </c>
      <c r="B1477" s="85" t="str" cm="1">
        <f t="array" ref="B1477">IFERROR(INDEX('03.Muestra'!$C$8:$C$42,SMALL(IF("Página Web"='03.Muestra'!$D$8:$D$42,ROW('03.Muestra'!$C$8:$C$42)-MIN(ROW('03.Muestra'!$D$8:$D$42))+1,""),ROW()-1462)),"")</f>
        <v>Voto por correo elector CERA en España</v>
      </c>
      <c r="C1477" s="85" t="str" cm="1">
        <f t="array" ref="C1477">IFERROR(INDEX('03.Muestra'!$F$8:$F$42,SMALL(IF("Página Web"='03.Muestra'!$D$8:$D$42,ROW('03.Muestra'!$F$8:$F$42)-MIN(ROW('03.Muestra'!$D$8:$D$42))+1,""),ROW()-1462)),"")</f>
        <v>https://elecciones.comunidad.madrid/es/preguntas-frecuentes/voto-correo-electores-residentes-extranjero</v>
      </c>
      <c r="D1477" s="99" t="s">
        <v>174</v>
      </c>
      <c r="E1477" s="79" t="str">
        <f t="shared" si="76"/>
        <v/>
      </c>
      <c r="F1477" s="18"/>
      <c r="G1477" s="18"/>
      <c r="H1477" s="18"/>
      <c r="I1477" s="18"/>
      <c r="J1477" s="18"/>
      <c r="K1477" s="184"/>
      <c r="L1477" s="18"/>
    </row>
    <row r="1478" spans="1:12" ht="12" customHeight="1">
      <c r="A1478" s="39" cm="1">
        <f t="array" ref="A1478">IFERROR(INDEX('03.Muestra'!$B$8:$B$42,SMALL(IF("Página Web"='03.Muestra'!$D$8:$D$42,ROW('03.Muestra'!$B$8:$B$42)-MIN(ROW('03.Muestra'!$D$8:$D$42))+1,""),ROW()-1462)),"")</f>
        <v>16</v>
      </c>
      <c r="B1478" s="85" t="str" cm="1">
        <f t="array" ref="B1478">IFERROR(INDEX('03.Muestra'!$C$8:$C$42,SMALL(IF("Página Web"='03.Muestra'!$D$8:$D$42,ROW('03.Muestra'!$C$8:$C$42)-MIN(ROW('03.Muestra'!$D$8:$D$42))+1,""),ROW()-1462)),"")</f>
        <v>Contacto</v>
      </c>
      <c r="C1478" s="85" t="str" cm="1">
        <f t="array" ref="C1478">IFERROR(INDEX('03.Muestra'!$F$8:$F$42,SMALL(IF("Página Web"='03.Muestra'!$D$8:$D$42,ROW('03.Muestra'!$F$8:$F$42)-MIN(ROW('03.Muestra'!$D$8:$D$42))+1,""),ROW()-1462)),"")</f>
        <v>https://elecciones.comunidad.madrid/es/buzon-de-sugerencias</v>
      </c>
      <c r="D1478" s="99" t="s">
        <v>174</v>
      </c>
      <c r="E1478" s="79" t="str">
        <f t="shared" si="76"/>
        <v/>
      </c>
      <c r="F1478" s="18"/>
      <c r="G1478" s="18"/>
      <c r="H1478" s="18"/>
      <c r="I1478" s="18"/>
      <c r="J1478" s="18"/>
      <c r="K1478" s="184"/>
      <c r="L1478" s="18"/>
    </row>
    <row r="1479" spans="1:12" ht="12" customHeight="1">
      <c r="A1479" s="39" cm="1">
        <f t="array" ref="A1479">IFERROR(INDEX('03.Muestra'!$B$8:$B$42,SMALL(IF("Página Web"='03.Muestra'!$D$8:$D$42,ROW('03.Muestra'!$B$8:$B$42)-MIN(ROW('03.Muestra'!$D$8:$D$42))+1,""),ROW()-1462)),"")</f>
        <v>17</v>
      </c>
      <c r="B1479" s="85" t="str" cm="1">
        <f t="array" ref="B1479">IFERROR(INDEX('03.Muestra'!$C$8:$C$42,SMALL(IF("Página Web"='03.Muestra'!$D$8:$D$42,ROW('03.Muestra'!$C$8:$C$42)-MIN(ROW('03.Muestra'!$D$8:$D$42))+1,""),ROW()-1462)),"")</f>
        <v>Buscador</v>
      </c>
      <c r="C1479" s="85" t="str" cm="1">
        <f t="array" ref="C1479">IFERROR(INDEX('03.Muestra'!$F$8:$F$42,SMALL(IF("Página Web"='03.Muestra'!$D$8:$D$42,ROW('03.Muestra'!$F$8:$F$42)-MIN(ROW('03.Muestra'!$D$8:$D$42))+1,""),ROW()-1462)),"")</f>
        <v>https://elecciones.comunidad.madrid/es/search?search_api_fulltext=partido</v>
      </c>
      <c r="D1479" s="99" t="s">
        <v>174</v>
      </c>
      <c r="E1479" s="79" t="str">
        <f t="shared" si="76"/>
        <v/>
      </c>
      <c r="F1479" s="18"/>
      <c r="G1479" s="18"/>
      <c r="H1479" s="18"/>
      <c r="I1479" s="18"/>
      <c r="J1479" s="18"/>
      <c r="K1479" s="184"/>
      <c r="L1479" s="18"/>
    </row>
    <row r="1480" spans="1:12" ht="12" customHeight="1">
      <c r="A1480" s="39" cm="1">
        <f t="array" ref="A1480">IFERROR(INDEX('03.Muestra'!$B$8:$B$42,SMALL(IF("Página Web"='03.Muestra'!$D$8:$D$42,ROW('03.Muestra'!$B$8:$B$42)-MIN(ROW('03.Muestra'!$D$8:$D$42))+1,""),ROW()-1462)),"")</f>
        <v>18</v>
      </c>
      <c r="B1480" s="85" t="str" cm="1">
        <f t="array" ref="B1480">IFERROR(INDEX('03.Muestra'!$C$8:$C$42,SMALL(IF("Página Web"='03.Muestra'!$D$8:$D$42,ROW('03.Muestra'!$C$8:$C$42)-MIN(ROW('03.Muestra'!$D$8:$D$42))+1,""),ROW()-1462)),"")</f>
        <v>Aviso Legal-Privacidad</v>
      </c>
      <c r="C1480" s="85" t="str" cm="1">
        <f t="array" ref="C1480">IFERROR(INDEX('03.Muestra'!$F$8:$F$42,SMALL(IF("Página Web"='03.Muestra'!$D$8:$D$42,ROW('03.Muestra'!$F$8:$F$42)-MIN(ROW('03.Muestra'!$D$8:$D$42))+1,""),ROW()-1462)),"")</f>
        <v>https://elecciones.comunidad.madrid/es/aviso-legal</v>
      </c>
      <c r="D1480" s="99" t="s">
        <v>174</v>
      </c>
      <c r="E1480" s="79" t="str">
        <f t="shared" si="76"/>
        <v/>
      </c>
      <c r="F1480" s="18"/>
      <c r="G1480" s="18"/>
      <c r="H1480" s="18"/>
      <c r="I1480" s="18"/>
      <c r="J1480" s="18"/>
      <c r="K1480" s="184"/>
      <c r="L1480" s="18"/>
    </row>
    <row r="1481" spans="1:12" ht="12" customHeight="1">
      <c r="A1481" s="39" cm="1">
        <f t="array" ref="A1481">IFERROR(INDEX('03.Muestra'!$B$8:$B$42,SMALL(IF("Página Web"='03.Muestra'!$D$8:$D$42,ROW('03.Muestra'!$B$8:$B$42)-MIN(ROW('03.Muestra'!$D$8:$D$42))+1,""),ROW()-1462)),"")</f>
        <v>19</v>
      </c>
      <c r="B1481" s="85" t="str" cm="1">
        <f t="array" ref="B1481">IFERROR(INDEX('03.Muestra'!$C$8:$C$42,SMALL(IF("Página Web"='03.Muestra'!$D$8:$D$42,ROW('03.Muestra'!$C$8:$C$42)-MIN(ROW('03.Muestra'!$D$8:$D$42))+1,""),ROW()-1462)),"")</f>
        <v>Mapa Web</v>
      </c>
      <c r="C1481" s="85" t="str" cm="1">
        <f t="array" ref="C1481">IFERROR(INDEX('03.Muestra'!$F$8:$F$42,SMALL(IF("Página Web"='03.Muestra'!$D$8:$D$42,ROW('03.Muestra'!$F$8:$F$42)-MIN(ROW('03.Muestra'!$D$8:$D$42))+1,""),ROW()-1462)),"")</f>
        <v>https://elecciones.comunidad.madrid/es/sitemap</v>
      </c>
      <c r="D1481" s="99" t="s">
        <v>174</v>
      </c>
      <c r="E1481" s="79" t="str">
        <f t="shared" si="76"/>
        <v/>
      </c>
      <c r="F1481" s="18"/>
      <c r="G1481" s="18"/>
      <c r="H1481" s="18"/>
      <c r="I1481" s="18"/>
      <c r="J1481" s="18"/>
      <c r="K1481" s="184"/>
      <c r="L1481" s="18"/>
    </row>
    <row r="1482" spans="1:12" ht="12" customHeight="1">
      <c r="A1482" s="39" cm="1">
        <f t="array" ref="A1482">IFERROR(INDEX('03.Muestra'!$B$8:$B$42,SMALL(IF("Página Web"='03.Muestra'!$D$8:$D$42,ROW('03.Muestra'!$B$8:$B$42)-MIN(ROW('03.Muestra'!$D$8:$D$42))+1,""),ROW()-1462)),"")</f>
        <v>20</v>
      </c>
      <c r="B1482" s="85" t="str" cm="1">
        <f t="array" ref="B1482">IFERROR(INDEX('03.Muestra'!$C$8:$C$42,SMALL(IF("Página Web"='03.Muestra'!$D$8:$D$42,ROW('03.Muestra'!$C$8:$C$42)-MIN(ROW('03.Muestra'!$D$8:$D$42))+1,""),ROW()-1462)),"")</f>
        <v>Declaracion Accesibilidad</v>
      </c>
      <c r="C1482" s="85" t="str" cm="1">
        <f t="array" ref="C1482">IFERROR(INDEX('03.Muestra'!$F$8:$F$42,SMALL(IF("Página Web"='03.Muestra'!$D$8:$D$42,ROW('03.Muestra'!$F$8:$F$42)-MIN(ROW('03.Muestra'!$D$8:$D$42))+1,""),ROW()-1462)),"")</f>
        <v>https://elecciones.comunidad.madrid/es/accesibilidad</v>
      </c>
      <c r="D1482" s="99" t="s">
        <v>174</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ref="D1483:D1497" si="77">IF(AND(B1483&lt;&gt;"",C1483&lt;&gt;""),"N/T","")</f>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181</v>
      </c>
      <c r="B1500" s="23" t="s">
        <v>173</v>
      </c>
      <c r="C1500" s="24" t="s">
        <v>263</v>
      </c>
      <c r="D1500" s="25" t="s">
        <v>183</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Inicio</v>
      </c>
      <c r="C1501" s="85" t="str" cm="1">
        <f t="array" ref="C1501">IFERROR(INDEX('03.Muestra'!$F$8:$F$42,SMALL(IF("Página Web"='03.Muestra'!$D$8:$D$42,ROW('03.Muestra'!$F$8:$F$42)-MIN(ROW('03.Muestra'!$D$8:$D$42))+1,""),ROW()-1500)),"")</f>
        <v>https://elecciones.comunidad.madrid/es</v>
      </c>
      <c r="D1501" s="99" t="s">
        <v>174</v>
      </c>
      <c r="E1501" s="79" t="str">
        <f t="shared" ref="E1501:E1535" si="78">IF(D1501&lt;&gt;"",IF(AND(B1501&lt;&gt;"",C1501&lt;&gt;""),"","ERR"),"")</f>
        <v/>
      </c>
      <c r="F1501" s="86" t="s">
        <v>185</v>
      </c>
      <c r="G1501" s="87" t="s">
        <v>186</v>
      </c>
      <c r="H1501" s="88" t="s">
        <v>184</v>
      </c>
      <c r="I1501" s="89" t="s">
        <v>176</v>
      </c>
      <c r="J1501" s="90" t="s">
        <v>174</v>
      </c>
      <c r="K1501" s="179" t="s">
        <v>180</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Resultado Elecciones 28M 2023</v>
      </c>
      <c r="C1502" s="85" t="str" cm="1">
        <f t="array" ref="C1502">IFERROR(INDEX('03.Muestra'!$F$8:$F$42,SMALL(IF("Página Web"='03.Muestra'!$D$8:$D$42,ROW('03.Muestra'!$F$8:$F$42)-MIN(ROW('03.Muestra'!$D$8:$D$42))+1,""),ROW()-1500)),"")</f>
        <v>https://elecciones.comunidad.madrid/es/resultados-elecciones-asamblea-madrid-28m-2023</v>
      </c>
      <c r="D1502" s="99" t="s">
        <v>174</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20</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Normativa electoral</v>
      </c>
      <c r="C1503" s="85" t="str" cm="1">
        <f t="array" ref="C1503">IFERROR(INDEX('03.Muestra'!$F$8:$F$42,SMALL(IF("Página Web"='03.Muestra'!$D$8:$D$42,ROW('03.Muestra'!$F$8:$F$42)-MIN(ROW('03.Muestra'!$D$8:$D$42))+1,""),ROW()-1500)),"")</f>
        <v>https://elecciones.comunidad.madrid/es/informacion-electoral/normativa-electoral</v>
      </c>
      <c r="D1503" s="99" t="s">
        <v>174</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Calendario electoral</v>
      </c>
      <c r="C1504" s="85" t="str" cm="1">
        <f t="array" ref="C1504">IFERROR(INDEX('03.Muestra'!$F$8:$F$42,SMALL(IF("Página Web"='03.Muestra'!$D$8:$D$42,ROW('03.Muestra'!$F$8:$F$42)-MIN(ROW('03.Muestra'!$D$8:$D$42))+1,""),ROW()-1500)),"")</f>
        <v>https://elecciones.comunidad.madrid/es/informacion-electoral/calendario-electoral</v>
      </c>
      <c r="D1504" s="99" t="s">
        <v>174</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Direcciones y teléfonos</v>
      </c>
      <c r="C1505" s="85" t="str" cm="1">
        <f t="array" ref="C1505">IFERROR(INDEX('03.Muestra'!$F$8:$F$42,SMALL(IF("Página Web"='03.Muestra'!$D$8:$D$42,ROW('03.Muestra'!$F$8:$F$42)-MIN(ROW('03.Muestra'!$D$8:$D$42))+1,""),ROW()-1500)),"")</f>
        <v>https://elecciones.comunidad.madrid/es/juntas-electorales/direcciones-telefonos</v>
      </c>
      <c r="D1505" s="99" t="s">
        <v>174</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Impresos electrónicos</v>
      </c>
      <c r="C1506" s="85" t="str" cm="1">
        <f t="array" ref="C1506">IFERROR(INDEX('03.Muestra'!$F$8:$F$42,SMALL(IF("Página Web"='03.Muestra'!$D$8:$D$42,ROW('03.Muestra'!$F$8:$F$42)-MIN(ROW('03.Muestra'!$D$8:$D$42))+1,""),ROW()-1500)),"")</f>
        <v>https://elecciones.comunidad.madrid/es/formaciones-politicas/impresos-electronicos</v>
      </c>
      <c r="D1506" s="99" t="s">
        <v>174</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Listado de candidaturas</v>
      </c>
      <c r="C1507" s="85" t="str" cm="1">
        <f t="array" ref="C1507">IFERROR(INDEX('03.Muestra'!$F$8:$F$42,SMALL(IF("Página Web"='03.Muestra'!$D$8:$D$42,ROW('03.Muestra'!$F$8:$F$42)-MIN(ROW('03.Muestra'!$D$8:$D$42))+1,""),ROW()-1500)),"")</f>
        <v>https://elecciones.comunidad.madrid/es/formaciones-politicas/listado-candidaturas-proclamadas</v>
      </c>
      <c r="D1507" s="99" t="s">
        <v>174</v>
      </c>
      <c r="E1507" s="79" t="str">
        <f t="shared" si="78"/>
        <v/>
      </c>
      <c r="F1507" s="18"/>
      <c r="G1507" s="18"/>
      <c r="H1507" s="18"/>
      <c r="I1507" s="18"/>
      <c r="J1507" s="18"/>
      <c r="K1507" s="184"/>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Partido Feminista de España</v>
      </c>
      <c r="C1508" s="85" t="str" cm="1">
        <f t="array" ref="C1508">IFERROR(INDEX('03.Muestra'!$F$8:$F$42,SMALL(IF("Página Web"='03.Muestra'!$D$8:$D$42,ROW('03.Muestra'!$F$8:$F$42)-MIN(ROW('03.Muestra'!$D$8:$D$42))+1,""),ROW()-1500)),"")</f>
        <v>https://elecciones.comunidad.madrid/es/formaciones-politicas/listado-candidaturas/partido-feminista-espana</v>
      </c>
      <c r="D1508" s="99" t="s">
        <v>174</v>
      </c>
      <c r="E1508" s="79" t="str">
        <f t="shared" si="78"/>
        <v/>
      </c>
      <c r="F1508" s="18"/>
      <c r="G1508" s="18"/>
      <c r="H1508" s="18"/>
      <c r="I1508" s="18"/>
      <c r="J1508" s="18"/>
      <c r="K1508" s="184"/>
      <c r="L1508" s="18"/>
    </row>
    <row r="1509" spans="1:12" ht="12" customHeight="1">
      <c r="A1509" s="39" cm="1">
        <f t="array" ref="A1509">IFERROR(INDEX('03.Muestra'!$B$8:$B$42,SMALL(IF("Página Web"='03.Muestra'!$D$8:$D$42,ROW('03.Muestra'!$B$8:$B$42)-MIN(ROW('03.Muestra'!$D$8:$D$42))+1,""),ROW()-1500)),"")</f>
        <v>9</v>
      </c>
      <c r="B1509" s="85" t="str" cm="1">
        <f t="array" ref="B1509">IFERROR(INDEX('03.Muestra'!$C$8:$C$42,SMALL(IF("Página Web"='03.Muestra'!$D$8:$D$42,ROW('03.Muestra'!$C$8:$C$42)-MIN(ROW('03.Muestra'!$D$8:$D$42))+1,""),ROW()-1500)),"")</f>
        <v>¿Dónde voto?</v>
      </c>
      <c r="C1509" s="85" t="str" cm="1">
        <f t="array" ref="C1509">IFERROR(INDEX('03.Muestra'!$F$8:$F$42,SMALL(IF("Página Web"='03.Muestra'!$D$8:$D$42,ROW('03.Muestra'!$F$8:$F$42)-MIN(ROW('03.Muestra'!$D$8:$D$42))+1,""),ROW()-1500)),"")</f>
        <v>https://elecciones.comunidad.madrid/es/votar/donde-voto</v>
      </c>
      <c r="D1509" s="99" t="s">
        <v>174</v>
      </c>
      <c r="E1509" s="79" t="str">
        <f t="shared" si="78"/>
        <v/>
      </c>
      <c r="F1509" s="18"/>
      <c r="G1509" s="18"/>
      <c r="H1509" s="18"/>
      <c r="I1509" s="18"/>
      <c r="J1509" s="18"/>
      <c r="K1509" s="184"/>
      <c r="L1509" s="18"/>
    </row>
    <row r="1510" spans="1:12" ht="12" customHeight="1">
      <c r="A1510" s="39" cm="1">
        <f t="array" ref="A1510">IFERROR(INDEX('03.Muestra'!$B$8:$B$42,SMALL(IF("Página Web"='03.Muestra'!$D$8:$D$42,ROW('03.Muestra'!$B$8:$B$42)-MIN(ROW('03.Muestra'!$D$8:$D$42))+1,""),ROW()-1500)),"")</f>
        <v>10</v>
      </c>
      <c r="B1510" s="85" t="str" cm="1">
        <f t="array" ref="B1510">IFERROR(INDEX('03.Muestra'!$C$8:$C$42,SMALL(IF("Página Web"='03.Muestra'!$D$8:$D$42,ROW('03.Muestra'!$C$8:$C$42)-MIN(ROW('03.Muestra'!$D$8:$D$42))+1,""),ROW()-1500)),"")</f>
        <v>Voto presencial</v>
      </c>
      <c r="C1510" s="85" t="str" cm="1">
        <f t="array" ref="C1510">IFERROR(INDEX('03.Muestra'!$F$8:$F$42,SMALL(IF("Página Web"='03.Muestra'!$D$8:$D$42,ROW('03.Muestra'!$F$8:$F$42)-MIN(ROW('03.Muestra'!$D$8:$D$42))+1,""),ROW()-1500)),"")</f>
        <v>https://elecciones.comunidad.madrid/es/voto-local-electoral/voto-presencial</v>
      </c>
      <c r="D1510" s="99" t="s">
        <v>174</v>
      </c>
      <c r="E1510" s="79" t="str">
        <f t="shared" si="78"/>
        <v/>
      </c>
      <c r="F1510" s="18"/>
      <c r="G1510" s="18"/>
      <c r="H1510" s="18"/>
      <c r="I1510" s="18"/>
      <c r="J1510" s="18"/>
      <c r="K1510" s="184"/>
      <c r="L1510" s="18"/>
    </row>
    <row r="1511" spans="1:12" ht="12" customHeight="1">
      <c r="A1511" s="39" cm="1">
        <f t="array" ref="A1511">IFERROR(INDEX('03.Muestra'!$B$8:$B$42,SMALL(IF("Página Web"='03.Muestra'!$D$8:$D$42,ROW('03.Muestra'!$B$8:$B$42)-MIN(ROW('03.Muestra'!$D$8:$D$42))+1,""),ROW()-1500)),"")</f>
        <v>11</v>
      </c>
      <c r="B1511" s="85" t="str" cm="1">
        <f t="array" ref="B1511">IFERROR(INDEX('03.Muestra'!$C$8:$C$42,SMALL(IF("Página Web"='03.Muestra'!$D$8:$D$42,ROW('03.Muestra'!$C$8:$C$42)-MIN(ROW('03.Muestra'!$D$8:$D$42))+1,""),ROW()-1500)),"")</f>
        <v>Ciudadanos temporalmente en el extranjero</v>
      </c>
      <c r="C1511" s="85" t="str" cm="1">
        <f t="array" ref="C1511">IFERROR(INDEX('03.Muestra'!$F$8:$F$42,SMALL(IF("Página Web"='03.Muestra'!$D$8:$D$42,ROW('03.Muestra'!$F$8:$F$42)-MIN(ROW('03.Muestra'!$D$8:$D$42))+1,""),ROW()-1500)),"")</f>
        <v>https://elecciones.comunidad.madrid/es/voto-correo/solicitud-voto-temporalmente-ausentes</v>
      </c>
      <c r="D1511" s="99" t="s">
        <v>174</v>
      </c>
      <c r="E1511" s="79" t="str">
        <f t="shared" si="78"/>
        <v/>
      </c>
      <c r="F1511" s="18"/>
      <c r="G1511" s="18"/>
      <c r="H1511" s="18"/>
      <c r="I1511" s="18"/>
      <c r="J1511" s="18"/>
      <c r="K1511" s="184"/>
      <c r="L1511" s="18"/>
    </row>
    <row r="1512" spans="1:12" ht="12" customHeight="1">
      <c r="A1512" s="39" cm="1">
        <f t="array" ref="A1512">IFERROR(INDEX('03.Muestra'!$B$8:$B$42,SMALL(IF("Página Web"='03.Muestra'!$D$8:$D$42,ROW('03.Muestra'!$B$8:$B$42)-MIN(ROW('03.Muestra'!$D$8:$D$42))+1,""),ROW()-1500)),"")</f>
        <v>12</v>
      </c>
      <c r="B1512" s="85" t="str" cm="1">
        <f t="array" ref="B1512">IFERROR(INDEX('03.Muestra'!$C$8:$C$42,SMALL(IF("Página Web"='03.Muestra'!$D$8:$D$42,ROW('03.Muestra'!$C$8:$C$42)-MIN(ROW('03.Muestra'!$D$8:$D$42))+1,""),ROW()-1500)),"")</f>
        <v>Nuevo votante</v>
      </c>
      <c r="C1512" s="85" t="str" cm="1">
        <f t="array" ref="C1512">IFERROR(INDEX('03.Muestra'!$F$8:$F$42,SMALL(IF("Página Web"='03.Muestra'!$D$8:$D$42,ROW('03.Muestra'!$F$8:$F$42)-MIN(ROW('03.Muestra'!$D$8:$D$42))+1,""),ROW()-1500)),"")</f>
        <v>https://elecciones.comunidad.madrid/es/votar/nuevo-votante</v>
      </c>
      <c r="D1512" s="99" t="s">
        <v>174</v>
      </c>
      <c r="E1512" s="79" t="str">
        <f t="shared" si="78"/>
        <v/>
      </c>
      <c r="F1512" s="18"/>
      <c r="G1512" s="18"/>
      <c r="H1512" s="18"/>
      <c r="I1512" s="18"/>
      <c r="J1512" s="18"/>
      <c r="K1512" s="184"/>
      <c r="L1512" s="18"/>
    </row>
    <row r="1513" spans="1:12" ht="12" customHeight="1">
      <c r="A1513" s="39" cm="1">
        <f t="array" ref="A1513">IFERROR(INDEX('03.Muestra'!$B$8:$B$42,SMALL(IF("Página Web"='03.Muestra'!$D$8:$D$42,ROW('03.Muestra'!$B$8:$B$42)-MIN(ROW('03.Muestra'!$D$8:$D$42))+1,""),ROW()-1500)),"")</f>
        <v>13</v>
      </c>
      <c r="B1513" s="85" t="str" cm="1">
        <f t="array" ref="B1513">IFERROR(INDEX('03.Muestra'!$C$8:$C$42,SMALL(IF("Página Web"='03.Muestra'!$D$8:$D$42,ROW('03.Muestra'!$C$8:$C$42)-MIN(ROW('03.Muestra'!$D$8:$D$42))+1,""),ROW()-1500)),"")</f>
        <v>Simulación método D'Hondt</v>
      </c>
      <c r="C1513" s="85" t="str" cm="1">
        <f t="array" ref="C1513">IFERROR(INDEX('03.Muestra'!$F$8:$F$42,SMALL(IF("Página Web"='03.Muestra'!$D$8:$D$42,ROW('03.Muestra'!$F$8:$F$42)-MIN(ROW('03.Muestra'!$D$8:$D$42))+1,""),ROW()-1500)),"")</f>
        <v>https://elecciones.comunidad.madrid/es/informacion-util/simulacion-metodo-dhondt</v>
      </c>
      <c r="D1513" s="99" t="s">
        <v>174</v>
      </c>
      <c r="E1513" s="79" t="str">
        <f t="shared" si="78"/>
        <v/>
      </c>
      <c r="F1513" s="18"/>
      <c r="G1513" s="18"/>
      <c r="H1513" s="18"/>
      <c r="I1513" s="18"/>
      <c r="J1513" s="18"/>
      <c r="K1513" s="184"/>
      <c r="L1513" s="18"/>
    </row>
    <row r="1514" spans="1:12" ht="12" customHeight="1">
      <c r="A1514" s="39" cm="1">
        <f t="array" ref="A1514">IFERROR(INDEX('03.Muestra'!$B$8:$B$42,SMALL(IF("Página Web"='03.Muestra'!$D$8:$D$42,ROW('03.Muestra'!$B$8:$B$42)-MIN(ROW('03.Muestra'!$D$8:$D$42))+1,""),ROW()-1500)),"")</f>
        <v>14</v>
      </c>
      <c r="B1514" s="85" t="str" cm="1">
        <f t="array" ref="B1514">IFERROR(INDEX('03.Muestra'!$C$8:$C$42,SMALL(IF("Página Web"='03.Muestra'!$D$8:$D$42,ROW('03.Muestra'!$C$8:$C$42)-MIN(ROW('03.Muestra'!$D$8:$D$42))+1,""),ROW()-1500)),"")</f>
        <v>Ley D'Hondt</v>
      </c>
      <c r="C1514" s="85" t="str" cm="1">
        <f t="array" ref="C1514">IFERROR(INDEX('03.Muestra'!$F$8:$F$42,SMALL(IF("Página Web"='03.Muestra'!$D$8:$D$42,ROW('03.Muestra'!$F$8:$F$42)-MIN(ROW('03.Muestra'!$D$8:$D$42))+1,""),ROW()-1500)),"")</f>
        <v>https://elecciones.comunidad.madrid/es/resultados/ley_d_hondt</v>
      </c>
      <c r="D1514" s="99" t="s">
        <v>174</v>
      </c>
      <c r="E1514" s="79" t="str">
        <f t="shared" si="78"/>
        <v/>
      </c>
      <c r="F1514" s="18"/>
      <c r="G1514" s="18"/>
      <c r="H1514" s="18"/>
      <c r="I1514" s="18"/>
      <c r="J1514" s="18"/>
      <c r="K1514" s="184"/>
      <c r="L1514" s="18"/>
    </row>
    <row r="1515" spans="1:12" ht="12" customHeight="1">
      <c r="A1515" s="39" cm="1">
        <f t="array" ref="A1515">IFERROR(INDEX('03.Muestra'!$B$8:$B$42,SMALL(IF("Página Web"='03.Muestra'!$D$8:$D$42,ROW('03.Muestra'!$B$8:$B$42)-MIN(ROW('03.Muestra'!$D$8:$D$42))+1,""),ROW()-1500)),"")</f>
        <v>15</v>
      </c>
      <c r="B1515" s="85" t="str" cm="1">
        <f t="array" ref="B1515">IFERROR(INDEX('03.Muestra'!$C$8:$C$42,SMALL(IF("Página Web"='03.Muestra'!$D$8:$D$42,ROW('03.Muestra'!$C$8:$C$42)-MIN(ROW('03.Muestra'!$D$8:$D$42))+1,""),ROW()-1500)),"")</f>
        <v>Voto por correo elector CERA en España</v>
      </c>
      <c r="C1515" s="85" t="str" cm="1">
        <f t="array" ref="C1515">IFERROR(INDEX('03.Muestra'!$F$8:$F$42,SMALL(IF("Página Web"='03.Muestra'!$D$8:$D$42,ROW('03.Muestra'!$F$8:$F$42)-MIN(ROW('03.Muestra'!$D$8:$D$42))+1,""),ROW()-1500)),"")</f>
        <v>https://elecciones.comunidad.madrid/es/preguntas-frecuentes/voto-correo-electores-residentes-extranjero</v>
      </c>
      <c r="D1515" s="99" t="s">
        <v>174</v>
      </c>
      <c r="E1515" s="79" t="str">
        <f t="shared" si="78"/>
        <v/>
      </c>
      <c r="F1515" s="18"/>
      <c r="G1515" s="18"/>
      <c r="H1515" s="18"/>
      <c r="I1515" s="18"/>
      <c r="J1515" s="18"/>
      <c r="K1515" s="184"/>
      <c r="L1515" s="18"/>
    </row>
    <row r="1516" spans="1:12" ht="12" customHeight="1">
      <c r="A1516" s="39" cm="1">
        <f t="array" ref="A1516">IFERROR(INDEX('03.Muestra'!$B$8:$B$42,SMALL(IF("Página Web"='03.Muestra'!$D$8:$D$42,ROW('03.Muestra'!$B$8:$B$42)-MIN(ROW('03.Muestra'!$D$8:$D$42))+1,""),ROW()-1500)),"")</f>
        <v>16</v>
      </c>
      <c r="B1516" s="85" t="str" cm="1">
        <f t="array" ref="B1516">IFERROR(INDEX('03.Muestra'!$C$8:$C$42,SMALL(IF("Página Web"='03.Muestra'!$D$8:$D$42,ROW('03.Muestra'!$C$8:$C$42)-MIN(ROW('03.Muestra'!$D$8:$D$42))+1,""),ROW()-1500)),"")</f>
        <v>Contacto</v>
      </c>
      <c r="C1516" s="85" t="str" cm="1">
        <f t="array" ref="C1516">IFERROR(INDEX('03.Muestra'!$F$8:$F$42,SMALL(IF("Página Web"='03.Muestra'!$D$8:$D$42,ROW('03.Muestra'!$F$8:$F$42)-MIN(ROW('03.Muestra'!$D$8:$D$42))+1,""),ROW()-1500)),"")</f>
        <v>https://elecciones.comunidad.madrid/es/buzon-de-sugerencias</v>
      </c>
      <c r="D1516" s="99" t="s">
        <v>174</v>
      </c>
      <c r="E1516" s="79" t="str">
        <f t="shared" si="78"/>
        <v/>
      </c>
      <c r="F1516" s="18"/>
      <c r="G1516" s="18"/>
      <c r="H1516" s="18"/>
      <c r="I1516" s="18"/>
      <c r="J1516" s="18"/>
      <c r="K1516" s="184"/>
      <c r="L1516" s="18"/>
    </row>
    <row r="1517" spans="1:12" ht="12" customHeight="1">
      <c r="A1517" s="39" cm="1">
        <f t="array" ref="A1517">IFERROR(INDEX('03.Muestra'!$B$8:$B$42,SMALL(IF("Página Web"='03.Muestra'!$D$8:$D$42,ROW('03.Muestra'!$B$8:$B$42)-MIN(ROW('03.Muestra'!$D$8:$D$42))+1,""),ROW()-1500)),"")</f>
        <v>17</v>
      </c>
      <c r="B1517" s="85" t="str" cm="1">
        <f t="array" ref="B1517">IFERROR(INDEX('03.Muestra'!$C$8:$C$42,SMALL(IF("Página Web"='03.Muestra'!$D$8:$D$42,ROW('03.Muestra'!$C$8:$C$42)-MIN(ROW('03.Muestra'!$D$8:$D$42))+1,""),ROW()-1500)),"")</f>
        <v>Buscador</v>
      </c>
      <c r="C1517" s="85" t="str" cm="1">
        <f t="array" ref="C1517">IFERROR(INDEX('03.Muestra'!$F$8:$F$42,SMALL(IF("Página Web"='03.Muestra'!$D$8:$D$42,ROW('03.Muestra'!$F$8:$F$42)-MIN(ROW('03.Muestra'!$D$8:$D$42))+1,""),ROW()-1500)),"")</f>
        <v>https://elecciones.comunidad.madrid/es/search?search_api_fulltext=partido</v>
      </c>
      <c r="D1517" s="99" t="s">
        <v>174</v>
      </c>
      <c r="E1517" s="79" t="str">
        <f t="shared" si="78"/>
        <v/>
      </c>
      <c r="F1517" s="18"/>
      <c r="G1517" s="18"/>
      <c r="H1517" s="18"/>
      <c r="I1517" s="18"/>
      <c r="J1517" s="18"/>
      <c r="K1517" s="184"/>
      <c r="L1517" s="18"/>
    </row>
    <row r="1518" spans="1:12" ht="12" customHeight="1">
      <c r="A1518" s="39" cm="1">
        <f t="array" ref="A1518">IFERROR(INDEX('03.Muestra'!$B$8:$B$42,SMALL(IF("Página Web"='03.Muestra'!$D$8:$D$42,ROW('03.Muestra'!$B$8:$B$42)-MIN(ROW('03.Muestra'!$D$8:$D$42))+1,""),ROW()-1500)),"")</f>
        <v>18</v>
      </c>
      <c r="B1518" s="85" t="str" cm="1">
        <f t="array" ref="B1518">IFERROR(INDEX('03.Muestra'!$C$8:$C$42,SMALL(IF("Página Web"='03.Muestra'!$D$8:$D$42,ROW('03.Muestra'!$C$8:$C$42)-MIN(ROW('03.Muestra'!$D$8:$D$42))+1,""),ROW()-1500)),"")</f>
        <v>Aviso Legal-Privacidad</v>
      </c>
      <c r="C1518" s="85" t="str" cm="1">
        <f t="array" ref="C1518">IFERROR(INDEX('03.Muestra'!$F$8:$F$42,SMALL(IF("Página Web"='03.Muestra'!$D$8:$D$42,ROW('03.Muestra'!$F$8:$F$42)-MIN(ROW('03.Muestra'!$D$8:$D$42))+1,""),ROW()-1500)),"")</f>
        <v>https://elecciones.comunidad.madrid/es/aviso-legal</v>
      </c>
      <c r="D1518" s="99" t="s">
        <v>174</v>
      </c>
      <c r="E1518" s="79" t="str">
        <f t="shared" si="78"/>
        <v/>
      </c>
      <c r="F1518" s="18"/>
      <c r="G1518" s="18"/>
      <c r="H1518" s="18"/>
      <c r="I1518" s="18"/>
      <c r="J1518" s="18"/>
      <c r="K1518" s="184"/>
      <c r="L1518" s="18"/>
    </row>
    <row r="1519" spans="1:12" ht="12" customHeight="1">
      <c r="A1519" s="39" cm="1">
        <f t="array" ref="A1519">IFERROR(INDEX('03.Muestra'!$B$8:$B$42,SMALL(IF("Página Web"='03.Muestra'!$D$8:$D$42,ROW('03.Muestra'!$B$8:$B$42)-MIN(ROW('03.Muestra'!$D$8:$D$42))+1,""),ROW()-1500)),"")</f>
        <v>19</v>
      </c>
      <c r="B1519" s="85" t="str" cm="1">
        <f t="array" ref="B1519">IFERROR(INDEX('03.Muestra'!$C$8:$C$42,SMALL(IF("Página Web"='03.Muestra'!$D$8:$D$42,ROW('03.Muestra'!$C$8:$C$42)-MIN(ROW('03.Muestra'!$D$8:$D$42))+1,""),ROW()-1500)),"")</f>
        <v>Mapa Web</v>
      </c>
      <c r="C1519" s="85" t="str" cm="1">
        <f t="array" ref="C1519">IFERROR(INDEX('03.Muestra'!$F$8:$F$42,SMALL(IF("Página Web"='03.Muestra'!$D$8:$D$42,ROW('03.Muestra'!$F$8:$F$42)-MIN(ROW('03.Muestra'!$D$8:$D$42))+1,""),ROW()-1500)),"")</f>
        <v>https://elecciones.comunidad.madrid/es/sitemap</v>
      </c>
      <c r="D1519" s="99" t="s">
        <v>174</v>
      </c>
      <c r="E1519" s="79" t="str">
        <f t="shared" si="78"/>
        <v/>
      </c>
      <c r="F1519" s="18"/>
      <c r="G1519" s="18"/>
      <c r="H1519" s="18"/>
      <c r="I1519" s="18"/>
      <c r="J1519" s="18"/>
      <c r="K1519" s="184"/>
      <c r="L1519" s="18"/>
    </row>
    <row r="1520" spans="1:12" ht="12" customHeight="1">
      <c r="A1520" s="39" cm="1">
        <f t="array" ref="A1520">IFERROR(INDEX('03.Muestra'!$B$8:$B$42,SMALL(IF("Página Web"='03.Muestra'!$D$8:$D$42,ROW('03.Muestra'!$B$8:$B$42)-MIN(ROW('03.Muestra'!$D$8:$D$42))+1,""),ROW()-1500)),"")</f>
        <v>20</v>
      </c>
      <c r="B1520" s="85" t="str" cm="1">
        <f t="array" ref="B1520">IFERROR(INDEX('03.Muestra'!$C$8:$C$42,SMALL(IF("Página Web"='03.Muestra'!$D$8:$D$42,ROW('03.Muestra'!$C$8:$C$42)-MIN(ROW('03.Muestra'!$D$8:$D$42))+1,""),ROW()-1500)),"")</f>
        <v>Declaracion Accesibilidad</v>
      </c>
      <c r="C1520" s="85" t="str" cm="1">
        <f t="array" ref="C1520">IFERROR(INDEX('03.Muestra'!$F$8:$F$42,SMALL(IF("Página Web"='03.Muestra'!$D$8:$D$42,ROW('03.Muestra'!$F$8:$F$42)-MIN(ROW('03.Muestra'!$D$8:$D$42))+1,""),ROW()-1500)),"")</f>
        <v>https://elecciones.comunidad.madrid/es/accesibilidad</v>
      </c>
      <c r="D1520" s="99" t="s">
        <v>174</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ref="D1521:D1535" si="79">IF(AND(B1521&lt;&gt;"",C1521&lt;&gt;""),"N/T","")</f>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181</v>
      </c>
      <c r="B1538" s="23" t="s">
        <v>173</v>
      </c>
      <c r="C1538" s="24" t="s">
        <v>264</v>
      </c>
      <c r="D1538" s="25" t="s">
        <v>183</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Inicio</v>
      </c>
      <c r="C1539" s="85" t="str" cm="1">
        <f t="array" ref="C1539">IFERROR(INDEX('03.Muestra'!$F$8:$F$42,SMALL(IF("Página Web"='03.Muestra'!$D$8:$D$42,ROW('03.Muestra'!$F$8:$F$42)-MIN(ROW('03.Muestra'!$D$8:$D$42))+1,""),ROW()-1538)),"")</f>
        <v>https://elecciones.comunidad.madrid/es</v>
      </c>
      <c r="D1539" s="99" t="s">
        <v>176</v>
      </c>
      <c r="E1539" s="79" t="str">
        <f t="shared" ref="E1539:E1573" si="80">IF(D1539&lt;&gt;"",IF(AND(B1539&lt;&gt;"",C1539&lt;&gt;""),"","ERR"),"")</f>
        <v/>
      </c>
      <c r="F1539" s="86" t="s">
        <v>185</v>
      </c>
      <c r="G1539" s="87" t="s">
        <v>186</v>
      </c>
      <c r="H1539" s="88" t="s">
        <v>184</v>
      </c>
      <c r="I1539" s="89" t="s">
        <v>176</v>
      </c>
      <c r="J1539" s="90" t="s">
        <v>174</v>
      </c>
      <c r="K1539" s="179" t="s">
        <v>180</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Resultado Elecciones 28M 2023</v>
      </c>
      <c r="C1540" s="85" t="str" cm="1">
        <f t="array" ref="C1540">IFERROR(INDEX('03.Muestra'!$F$8:$F$42,SMALL(IF("Página Web"='03.Muestra'!$D$8:$D$42,ROW('03.Muestra'!$F$8:$F$42)-MIN(ROW('03.Muestra'!$D$8:$D$42))+1,""),ROW()-1538)),"")</f>
        <v>https://elecciones.comunidad.madrid/es/resultados-elecciones-asamblea-madrid-28m-2023</v>
      </c>
      <c r="D1540" s="99" t="s">
        <v>174</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6</v>
      </c>
      <c r="J1540" s="91">
        <f ca="1">COUNTIF($D1539:INDIRECT("$D" &amp;  SUM(ROW()-1,'03.Muestra'!$D$45)-1),J1539)</f>
        <v>14</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Normativa electoral</v>
      </c>
      <c r="C1541" s="85" t="str" cm="1">
        <f t="array" ref="C1541">IFERROR(INDEX('03.Muestra'!$F$8:$F$42,SMALL(IF("Página Web"='03.Muestra'!$D$8:$D$42,ROW('03.Muestra'!$F$8:$F$42)-MIN(ROW('03.Muestra'!$D$8:$D$42))+1,""),ROW()-1538)),"")</f>
        <v>https://elecciones.comunidad.madrid/es/informacion-electoral/normativa-electoral</v>
      </c>
      <c r="D1541" s="99" t="s">
        <v>174</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Calendario electoral</v>
      </c>
      <c r="C1542" s="85" t="str" cm="1">
        <f t="array" ref="C1542">IFERROR(INDEX('03.Muestra'!$F$8:$F$42,SMALL(IF("Página Web"='03.Muestra'!$D$8:$D$42,ROW('03.Muestra'!$F$8:$F$42)-MIN(ROW('03.Muestra'!$D$8:$D$42))+1,""),ROW()-1538)),"")</f>
        <v>https://elecciones.comunidad.madrid/es/informacion-electoral/calendario-electoral</v>
      </c>
      <c r="D1542" s="99" t="s">
        <v>174</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Direcciones y teléfonos</v>
      </c>
      <c r="C1543" s="85" t="str" cm="1">
        <f t="array" ref="C1543">IFERROR(INDEX('03.Muestra'!$F$8:$F$42,SMALL(IF("Página Web"='03.Muestra'!$D$8:$D$42,ROW('03.Muestra'!$F$8:$F$42)-MIN(ROW('03.Muestra'!$D$8:$D$42))+1,""),ROW()-1538)),"")</f>
        <v>https://elecciones.comunidad.madrid/es/juntas-electorales/direcciones-telefonos</v>
      </c>
      <c r="D1543" s="99" t="s">
        <v>174</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Impresos electrónicos</v>
      </c>
      <c r="C1544" s="85" t="str" cm="1">
        <f t="array" ref="C1544">IFERROR(INDEX('03.Muestra'!$F$8:$F$42,SMALL(IF("Página Web"='03.Muestra'!$D$8:$D$42,ROW('03.Muestra'!$F$8:$F$42)-MIN(ROW('03.Muestra'!$D$8:$D$42))+1,""),ROW()-1538)),"")</f>
        <v>https://elecciones.comunidad.madrid/es/formaciones-politicas/impresos-electronicos</v>
      </c>
      <c r="D1544" s="99" t="s">
        <v>174</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Listado de candidaturas</v>
      </c>
      <c r="C1545" s="85" t="str" cm="1">
        <f t="array" ref="C1545">IFERROR(INDEX('03.Muestra'!$F$8:$F$42,SMALL(IF("Página Web"='03.Muestra'!$D$8:$D$42,ROW('03.Muestra'!$F$8:$F$42)-MIN(ROW('03.Muestra'!$D$8:$D$42))+1,""),ROW()-1538)),"")</f>
        <v>https://elecciones.comunidad.madrid/es/formaciones-politicas/listado-candidaturas-proclamadas</v>
      </c>
      <c r="D1545" s="99" t="s">
        <v>174</v>
      </c>
      <c r="E1545" s="79" t="str">
        <f t="shared" si="80"/>
        <v/>
      </c>
      <c r="F1545" s="18"/>
      <c r="G1545" s="18"/>
      <c r="H1545" s="18"/>
      <c r="I1545" s="18"/>
      <c r="J1545" s="18"/>
      <c r="K1545" s="184"/>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Partido Feminista de España</v>
      </c>
      <c r="C1546" s="85" t="str" cm="1">
        <f t="array" ref="C1546">IFERROR(INDEX('03.Muestra'!$F$8:$F$42,SMALL(IF("Página Web"='03.Muestra'!$D$8:$D$42,ROW('03.Muestra'!$F$8:$F$42)-MIN(ROW('03.Muestra'!$D$8:$D$42))+1,""),ROW()-1538)),"")</f>
        <v>https://elecciones.comunidad.madrid/es/formaciones-politicas/listado-candidaturas/partido-feminista-espana</v>
      </c>
      <c r="D1546" s="99" t="s">
        <v>174</v>
      </c>
      <c r="E1546" s="79" t="str">
        <f t="shared" si="80"/>
        <v/>
      </c>
      <c r="F1546" s="18"/>
      <c r="G1546" s="18"/>
      <c r="H1546" s="18"/>
      <c r="I1546" s="18"/>
      <c r="J1546" s="18"/>
      <c r="K1546" s="184"/>
      <c r="L1546" s="18"/>
    </row>
    <row r="1547" spans="1:12" ht="12" customHeight="1">
      <c r="A1547" s="39" cm="1">
        <f t="array" ref="A1547">IFERROR(INDEX('03.Muestra'!$B$8:$B$42,SMALL(IF("Página Web"='03.Muestra'!$D$8:$D$42,ROW('03.Muestra'!$B$8:$B$42)-MIN(ROW('03.Muestra'!$D$8:$D$42))+1,""),ROW()-1538)),"")</f>
        <v>9</v>
      </c>
      <c r="B1547" s="85" t="str" cm="1">
        <f t="array" ref="B1547">IFERROR(INDEX('03.Muestra'!$C$8:$C$42,SMALL(IF("Página Web"='03.Muestra'!$D$8:$D$42,ROW('03.Muestra'!$C$8:$C$42)-MIN(ROW('03.Muestra'!$D$8:$D$42))+1,""),ROW()-1538)),"")</f>
        <v>¿Dónde voto?</v>
      </c>
      <c r="C1547" s="85" t="str" cm="1">
        <f t="array" ref="C1547">IFERROR(INDEX('03.Muestra'!$F$8:$F$42,SMALL(IF("Página Web"='03.Muestra'!$D$8:$D$42,ROW('03.Muestra'!$F$8:$F$42)-MIN(ROW('03.Muestra'!$D$8:$D$42))+1,""),ROW()-1538)),"")</f>
        <v>https://elecciones.comunidad.madrid/es/votar/donde-voto</v>
      </c>
      <c r="D1547" s="99" t="s">
        <v>176</v>
      </c>
      <c r="E1547" s="79" t="str">
        <f t="shared" si="80"/>
        <v/>
      </c>
      <c r="F1547" s="18"/>
      <c r="G1547" s="18"/>
      <c r="H1547" s="18"/>
      <c r="I1547" s="18"/>
      <c r="J1547" s="18"/>
      <c r="K1547" s="184"/>
      <c r="L1547" s="18"/>
    </row>
    <row r="1548" spans="1:12" ht="12" customHeight="1">
      <c r="A1548" s="39" cm="1">
        <f t="array" ref="A1548">IFERROR(INDEX('03.Muestra'!$B$8:$B$42,SMALL(IF("Página Web"='03.Muestra'!$D$8:$D$42,ROW('03.Muestra'!$B$8:$B$42)-MIN(ROW('03.Muestra'!$D$8:$D$42))+1,""),ROW()-1538)),"")</f>
        <v>10</v>
      </c>
      <c r="B1548" s="85" t="str" cm="1">
        <f t="array" ref="B1548">IFERROR(INDEX('03.Muestra'!$C$8:$C$42,SMALL(IF("Página Web"='03.Muestra'!$D$8:$D$42,ROW('03.Muestra'!$C$8:$C$42)-MIN(ROW('03.Muestra'!$D$8:$D$42))+1,""),ROW()-1538)),"")</f>
        <v>Voto presencial</v>
      </c>
      <c r="C1548" s="85" t="str" cm="1">
        <f t="array" ref="C1548">IFERROR(INDEX('03.Muestra'!$F$8:$F$42,SMALL(IF("Página Web"='03.Muestra'!$D$8:$D$42,ROW('03.Muestra'!$F$8:$F$42)-MIN(ROW('03.Muestra'!$D$8:$D$42))+1,""),ROW()-1538)),"")</f>
        <v>https://elecciones.comunidad.madrid/es/voto-local-electoral/voto-presencial</v>
      </c>
      <c r="D1548" s="99" t="s">
        <v>174</v>
      </c>
      <c r="E1548" s="79" t="str">
        <f t="shared" si="80"/>
        <v/>
      </c>
      <c r="F1548" s="18"/>
      <c r="G1548" s="18"/>
      <c r="H1548" s="18"/>
      <c r="I1548" s="18"/>
      <c r="J1548" s="18"/>
      <c r="K1548" s="184"/>
    </row>
    <row r="1549" spans="1:12" ht="12" customHeight="1">
      <c r="A1549" s="39" cm="1">
        <f t="array" ref="A1549">IFERROR(INDEX('03.Muestra'!$B$8:$B$42,SMALL(IF("Página Web"='03.Muestra'!$D$8:$D$42,ROW('03.Muestra'!$B$8:$B$42)-MIN(ROW('03.Muestra'!$D$8:$D$42))+1,""),ROW()-1538)),"")</f>
        <v>11</v>
      </c>
      <c r="B1549" s="85" t="str" cm="1">
        <f t="array" ref="B1549">IFERROR(INDEX('03.Muestra'!$C$8:$C$42,SMALL(IF("Página Web"='03.Muestra'!$D$8:$D$42,ROW('03.Muestra'!$C$8:$C$42)-MIN(ROW('03.Muestra'!$D$8:$D$42))+1,""),ROW()-1538)),"")</f>
        <v>Ciudadanos temporalmente en el extranjero</v>
      </c>
      <c r="C1549" s="85" t="str" cm="1">
        <f t="array" ref="C1549">IFERROR(INDEX('03.Muestra'!$F$8:$F$42,SMALL(IF("Página Web"='03.Muestra'!$D$8:$D$42,ROW('03.Muestra'!$F$8:$F$42)-MIN(ROW('03.Muestra'!$D$8:$D$42))+1,""),ROW()-1538)),"")</f>
        <v>https://elecciones.comunidad.madrid/es/voto-correo/solicitud-voto-temporalmente-ausentes</v>
      </c>
      <c r="D1549" s="99" t="s">
        <v>176</v>
      </c>
      <c r="E1549" s="79" t="str">
        <f t="shared" si="80"/>
        <v/>
      </c>
      <c r="F1549" s="18"/>
      <c r="G1549" s="18"/>
      <c r="H1549" s="18"/>
      <c r="I1549" s="18"/>
      <c r="J1549" s="18"/>
      <c r="K1549" s="184"/>
    </row>
    <row r="1550" spans="1:12" ht="12" customHeight="1">
      <c r="A1550" s="39" cm="1">
        <f t="array" ref="A1550">IFERROR(INDEX('03.Muestra'!$B$8:$B$42,SMALL(IF("Página Web"='03.Muestra'!$D$8:$D$42,ROW('03.Muestra'!$B$8:$B$42)-MIN(ROW('03.Muestra'!$D$8:$D$42))+1,""),ROW()-1538)),"")</f>
        <v>12</v>
      </c>
      <c r="B1550" s="85" t="str" cm="1">
        <f t="array" ref="B1550">IFERROR(INDEX('03.Muestra'!$C$8:$C$42,SMALL(IF("Página Web"='03.Muestra'!$D$8:$D$42,ROW('03.Muestra'!$C$8:$C$42)-MIN(ROW('03.Muestra'!$D$8:$D$42))+1,""),ROW()-1538)),"")</f>
        <v>Nuevo votante</v>
      </c>
      <c r="C1550" s="85" t="str" cm="1">
        <f t="array" ref="C1550">IFERROR(INDEX('03.Muestra'!$F$8:$F$42,SMALL(IF("Página Web"='03.Muestra'!$D$8:$D$42,ROW('03.Muestra'!$F$8:$F$42)-MIN(ROW('03.Muestra'!$D$8:$D$42))+1,""),ROW()-1538)),"")</f>
        <v>https://elecciones.comunidad.madrid/es/votar/nuevo-votante</v>
      </c>
      <c r="D1550" s="99" t="s">
        <v>174</v>
      </c>
      <c r="E1550" s="79" t="str">
        <f t="shared" si="80"/>
        <v/>
      </c>
      <c r="F1550" s="18"/>
      <c r="G1550" s="18"/>
      <c r="H1550" s="18"/>
      <c r="I1550" s="18"/>
      <c r="J1550" s="18"/>
      <c r="K1550" s="184"/>
      <c r="L1550" s="18"/>
    </row>
    <row r="1551" spans="1:12" ht="12" customHeight="1">
      <c r="A1551" s="39" cm="1">
        <f t="array" ref="A1551">IFERROR(INDEX('03.Muestra'!$B$8:$B$42,SMALL(IF("Página Web"='03.Muestra'!$D$8:$D$42,ROW('03.Muestra'!$B$8:$B$42)-MIN(ROW('03.Muestra'!$D$8:$D$42))+1,""),ROW()-1538)),"")</f>
        <v>13</v>
      </c>
      <c r="B1551" s="85" t="str" cm="1">
        <f t="array" ref="B1551">IFERROR(INDEX('03.Muestra'!$C$8:$C$42,SMALL(IF("Página Web"='03.Muestra'!$D$8:$D$42,ROW('03.Muestra'!$C$8:$C$42)-MIN(ROW('03.Muestra'!$D$8:$D$42))+1,""),ROW()-1538)),"")</f>
        <v>Simulación método D'Hondt</v>
      </c>
      <c r="C1551" s="85" t="str" cm="1">
        <f t="array" ref="C1551">IFERROR(INDEX('03.Muestra'!$F$8:$F$42,SMALL(IF("Página Web"='03.Muestra'!$D$8:$D$42,ROW('03.Muestra'!$F$8:$F$42)-MIN(ROW('03.Muestra'!$D$8:$D$42))+1,""),ROW()-1538)),"")</f>
        <v>https://elecciones.comunidad.madrid/es/informacion-util/simulacion-metodo-dhondt</v>
      </c>
      <c r="D1551" s="99" t="s">
        <v>174</v>
      </c>
      <c r="E1551" s="79" t="str">
        <f t="shared" si="80"/>
        <v/>
      </c>
      <c r="F1551" s="18"/>
      <c r="G1551" s="18"/>
      <c r="H1551" s="18"/>
      <c r="I1551" s="18"/>
      <c r="J1551" s="18"/>
      <c r="K1551" s="184"/>
      <c r="L1551" s="18"/>
    </row>
    <row r="1552" spans="1:12" ht="12" customHeight="1">
      <c r="A1552" s="39" cm="1">
        <f t="array" ref="A1552">IFERROR(INDEX('03.Muestra'!$B$8:$B$42,SMALL(IF("Página Web"='03.Muestra'!$D$8:$D$42,ROW('03.Muestra'!$B$8:$B$42)-MIN(ROW('03.Muestra'!$D$8:$D$42))+1,""),ROW()-1538)),"")</f>
        <v>14</v>
      </c>
      <c r="B1552" s="85" t="str" cm="1">
        <f t="array" ref="B1552">IFERROR(INDEX('03.Muestra'!$C$8:$C$42,SMALL(IF("Página Web"='03.Muestra'!$D$8:$D$42,ROW('03.Muestra'!$C$8:$C$42)-MIN(ROW('03.Muestra'!$D$8:$D$42))+1,""),ROW()-1538)),"")</f>
        <v>Ley D'Hondt</v>
      </c>
      <c r="C1552" s="85" t="str" cm="1">
        <f t="array" ref="C1552">IFERROR(INDEX('03.Muestra'!$F$8:$F$42,SMALL(IF("Página Web"='03.Muestra'!$D$8:$D$42,ROW('03.Muestra'!$F$8:$F$42)-MIN(ROW('03.Muestra'!$D$8:$D$42))+1,""),ROW()-1538)),"")</f>
        <v>https://elecciones.comunidad.madrid/es/resultados/ley_d_hondt</v>
      </c>
      <c r="D1552" s="99" t="s">
        <v>176</v>
      </c>
      <c r="E1552" s="79" t="str">
        <f t="shared" si="80"/>
        <v/>
      </c>
      <c r="F1552" s="18"/>
      <c r="G1552" s="18"/>
      <c r="H1552" s="18"/>
      <c r="I1552" s="18"/>
      <c r="J1552" s="18"/>
      <c r="K1552" s="184"/>
      <c r="L1552" s="18"/>
    </row>
    <row r="1553" spans="1:12" ht="12" customHeight="1">
      <c r="A1553" s="39" cm="1">
        <f t="array" ref="A1553">IFERROR(INDEX('03.Muestra'!$B$8:$B$42,SMALL(IF("Página Web"='03.Muestra'!$D$8:$D$42,ROW('03.Muestra'!$B$8:$B$42)-MIN(ROW('03.Muestra'!$D$8:$D$42))+1,""),ROW()-1538)),"")</f>
        <v>15</v>
      </c>
      <c r="B1553" s="85" t="str" cm="1">
        <f t="array" ref="B1553">IFERROR(INDEX('03.Muestra'!$C$8:$C$42,SMALL(IF("Página Web"='03.Muestra'!$D$8:$D$42,ROW('03.Muestra'!$C$8:$C$42)-MIN(ROW('03.Muestra'!$D$8:$D$42))+1,""),ROW()-1538)),"")</f>
        <v>Voto por correo elector CERA en España</v>
      </c>
      <c r="C1553" s="85" t="str" cm="1">
        <f t="array" ref="C1553">IFERROR(INDEX('03.Muestra'!$F$8:$F$42,SMALL(IF("Página Web"='03.Muestra'!$D$8:$D$42,ROW('03.Muestra'!$F$8:$F$42)-MIN(ROW('03.Muestra'!$D$8:$D$42))+1,""),ROW()-1538)),"")</f>
        <v>https://elecciones.comunidad.madrid/es/preguntas-frecuentes/voto-correo-electores-residentes-extranjero</v>
      </c>
      <c r="D1553" s="99" t="s">
        <v>176</v>
      </c>
      <c r="E1553" s="79" t="str">
        <f t="shared" si="80"/>
        <v/>
      </c>
      <c r="F1553" s="18"/>
      <c r="G1553" s="18"/>
      <c r="H1553" s="18"/>
      <c r="I1553" s="18"/>
      <c r="J1553" s="18"/>
      <c r="K1553" s="184"/>
      <c r="L1553" s="18"/>
    </row>
    <row r="1554" spans="1:12" ht="12" customHeight="1">
      <c r="A1554" s="39" cm="1">
        <f t="array" ref="A1554">IFERROR(INDEX('03.Muestra'!$B$8:$B$42,SMALL(IF("Página Web"='03.Muestra'!$D$8:$D$42,ROW('03.Muestra'!$B$8:$B$42)-MIN(ROW('03.Muestra'!$D$8:$D$42))+1,""),ROW()-1538)),"")</f>
        <v>16</v>
      </c>
      <c r="B1554" s="85" t="str" cm="1">
        <f t="array" ref="B1554">IFERROR(INDEX('03.Muestra'!$C$8:$C$42,SMALL(IF("Página Web"='03.Muestra'!$D$8:$D$42,ROW('03.Muestra'!$C$8:$C$42)-MIN(ROW('03.Muestra'!$D$8:$D$42))+1,""),ROW()-1538)),"")</f>
        <v>Contacto</v>
      </c>
      <c r="C1554" s="85" t="str" cm="1">
        <f t="array" ref="C1554">IFERROR(INDEX('03.Muestra'!$F$8:$F$42,SMALL(IF("Página Web"='03.Muestra'!$D$8:$D$42,ROW('03.Muestra'!$F$8:$F$42)-MIN(ROW('03.Muestra'!$D$8:$D$42))+1,""),ROW()-1538)),"")</f>
        <v>https://elecciones.comunidad.madrid/es/buzon-de-sugerencias</v>
      </c>
      <c r="D1554" s="99" t="s">
        <v>176</v>
      </c>
      <c r="E1554" s="79" t="str">
        <f t="shared" si="80"/>
        <v/>
      </c>
      <c r="F1554" s="18"/>
      <c r="G1554" s="18"/>
      <c r="H1554" s="18"/>
      <c r="I1554" s="18"/>
      <c r="J1554" s="18"/>
      <c r="K1554" s="184"/>
      <c r="L1554" s="18"/>
    </row>
    <row r="1555" spans="1:12" ht="12" customHeight="1">
      <c r="A1555" s="39" cm="1">
        <f t="array" ref="A1555">IFERROR(INDEX('03.Muestra'!$B$8:$B$42,SMALL(IF("Página Web"='03.Muestra'!$D$8:$D$42,ROW('03.Muestra'!$B$8:$B$42)-MIN(ROW('03.Muestra'!$D$8:$D$42))+1,""),ROW()-1538)),"")</f>
        <v>17</v>
      </c>
      <c r="B1555" s="85" t="str" cm="1">
        <f t="array" ref="B1555">IFERROR(INDEX('03.Muestra'!$C$8:$C$42,SMALL(IF("Página Web"='03.Muestra'!$D$8:$D$42,ROW('03.Muestra'!$C$8:$C$42)-MIN(ROW('03.Muestra'!$D$8:$D$42))+1,""),ROW()-1538)),"")</f>
        <v>Buscador</v>
      </c>
      <c r="C1555" s="85" t="str" cm="1">
        <f t="array" ref="C1555">IFERROR(INDEX('03.Muestra'!$F$8:$F$42,SMALL(IF("Página Web"='03.Muestra'!$D$8:$D$42,ROW('03.Muestra'!$F$8:$F$42)-MIN(ROW('03.Muestra'!$D$8:$D$42))+1,""),ROW()-1538)),"")</f>
        <v>https://elecciones.comunidad.madrid/es/search?search_api_fulltext=partido</v>
      </c>
      <c r="D1555" s="99" t="s">
        <v>174</v>
      </c>
      <c r="E1555" s="79" t="str">
        <f t="shared" si="80"/>
        <v/>
      </c>
      <c r="F1555" s="18"/>
      <c r="G1555" s="18"/>
      <c r="H1555" s="18"/>
      <c r="I1555" s="18"/>
      <c r="J1555" s="18"/>
      <c r="K1555" s="184"/>
      <c r="L1555" s="18"/>
    </row>
    <row r="1556" spans="1:12" ht="12" customHeight="1">
      <c r="A1556" s="39" cm="1">
        <f t="array" ref="A1556">IFERROR(INDEX('03.Muestra'!$B$8:$B$42,SMALL(IF("Página Web"='03.Muestra'!$D$8:$D$42,ROW('03.Muestra'!$B$8:$B$42)-MIN(ROW('03.Muestra'!$D$8:$D$42))+1,""),ROW()-1538)),"")</f>
        <v>18</v>
      </c>
      <c r="B1556" s="85" t="str" cm="1">
        <f t="array" ref="B1556">IFERROR(INDEX('03.Muestra'!$C$8:$C$42,SMALL(IF("Página Web"='03.Muestra'!$D$8:$D$42,ROW('03.Muestra'!$C$8:$C$42)-MIN(ROW('03.Muestra'!$D$8:$D$42))+1,""),ROW()-1538)),"")</f>
        <v>Aviso Legal-Privacidad</v>
      </c>
      <c r="C1556" s="85" t="str" cm="1">
        <f t="array" ref="C1556">IFERROR(INDEX('03.Muestra'!$F$8:$F$42,SMALL(IF("Página Web"='03.Muestra'!$D$8:$D$42,ROW('03.Muestra'!$F$8:$F$42)-MIN(ROW('03.Muestra'!$D$8:$D$42))+1,""),ROW()-1538)),"")</f>
        <v>https://elecciones.comunidad.madrid/es/aviso-legal</v>
      </c>
      <c r="D1556" s="99" t="s">
        <v>174</v>
      </c>
      <c r="E1556" s="79" t="str">
        <f t="shared" si="80"/>
        <v/>
      </c>
      <c r="F1556" s="18"/>
      <c r="G1556" s="18"/>
      <c r="H1556" s="18"/>
      <c r="I1556" s="18"/>
      <c r="J1556" s="18"/>
      <c r="K1556" s="184"/>
      <c r="L1556" s="18"/>
    </row>
    <row r="1557" spans="1:12" ht="12" customHeight="1">
      <c r="A1557" s="39" cm="1">
        <f t="array" ref="A1557">IFERROR(INDEX('03.Muestra'!$B$8:$B$42,SMALL(IF("Página Web"='03.Muestra'!$D$8:$D$42,ROW('03.Muestra'!$B$8:$B$42)-MIN(ROW('03.Muestra'!$D$8:$D$42))+1,""),ROW()-1538)),"")</f>
        <v>19</v>
      </c>
      <c r="B1557" s="85" t="str" cm="1">
        <f t="array" ref="B1557">IFERROR(INDEX('03.Muestra'!$C$8:$C$42,SMALL(IF("Página Web"='03.Muestra'!$D$8:$D$42,ROW('03.Muestra'!$C$8:$C$42)-MIN(ROW('03.Muestra'!$D$8:$D$42))+1,""),ROW()-1538)),"")</f>
        <v>Mapa Web</v>
      </c>
      <c r="C1557" s="85" t="str" cm="1">
        <f t="array" ref="C1557">IFERROR(INDEX('03.Muestra'!$F$8:$F$42,SMALL(IF("Página Web"='03.Muestra'!$D$8:$D$42,ROW('03.Muestra'!$F$8:$F$42)-MIN(ROW('03.Muestra'!$D$8:$D$42))+1,""),ROW()-1538)),"")</f>
        <v>https://elecciones.comunidad.madrid/es/sitemap</v>
      </c>
      <c r="D1557" s="99" t="s">
        <v>174</v>
      </c>
      <c r="E1557" s="79" t="str">
        <f t="shared" si="80"/>
        <v/>
      </c>
      <c r="F1557" s="18"/>
      <c r="G1557" s="18"/>
      <c r="H1557" s="18"/>
      <c r="I1557" s="18"/>
      <c r="J1557" s="18"/>
      <c r="K1557" s="184"/>
      <c r="L1557" s="18"/>
    </row>
    <row r="1558" spans="1:12" ht="12" customHeight="1">
      <c r="A1558" s="39" cm="1">
        <f t="array" ref="A1558">IFERROR(INDEX('03.Muestra'!$B$8:$B$42,SMALL(IF("Página Web"='03.Muestra'!$D$8:$D$42,ROW('03.Muestra'!$B$8:$B$42)-MIN(ROW('03.Muestra'!$D$8:$D$42))+1,""),ROW()-1538)),"")</f>
        <v>20</v>
      </c>
      <c r="B1558" s="85" t="str" cm="1">
        <f t="array" ref="B1558">IFERROR(INDEX('03.Muestra'!$C$8:$C$42,SMALL(IF("Página Web"='03.Muestra'!$D$8:$D$42,ROW('03.Muestra'!$C$8:$C$42)-MIN(ROW('03.Muestra'!$D$8:$D$42))+1,""),ROW()-1538)),"")</f>
        <v>Declaracion Accesibilidad</v>
      </c>
      <c r="C1558" s="85" t="str" cm="1">
        <f t="array" ref="C1558">IFERROR(INDEX('03.Muestra'!$F$8:$F$42,SMALL(IF("Página Web"='03.Muestra'!$D$8:$D$42,ROW('03.Muestra'!$F$8:$F$42)-MIN(ROW('03.Muestra'!$D$8:$D$42))+1,""),ROW()-1538)),"")</f>
        <v>https://elecciones.comunidad.madrid/es/accesibilidad</v>
      </c>
      <c r="D1558" s="99" t="s">
        <v>174</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ref="D1559:D1573" si="81">IF(AND(B1559&lt;&gt;"",C1559&lt;&gt;""),"N/T","")</f>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181</v>
      </c>
      <c r="B1576" s="23" t="s">
        <v>173</v>
      </c>
      <c r="C1576" s="24" t="s">
        <v>265</v>
      </c>
      <c r="D1576" s="25" t="s">
        <v>183</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Inicio</v>
      </c>
      <c r="C1577" s="85" t="str" cm="1">
        <f t="array" ref="C1577">IFERROR(INDEX('03.Muestra'!$F$8:$F$42,SMALL(IF("Página Web"='03.Muestra'!$D$8:$D$42,ROW('03.Muestra'!$F$8:$F$42)-MIN(ROW('03.Muestra'!$D$8:$D$42))+1,""),ROW()-1576)),"")</f>
        <v>https://elecciones.comunidad.madrid/es</v>
      </c>
      <c r="D1577" s="99" t="s">
        <v>174</v>
      </c>
      <c r="E1577" s="79" t="str">
        <f t="shared" ref="E1577:E1611" si="82">IF(D1577&lt;&gt;"",IF(AND(B1577&lt;&gt;"",C1577&lt;&gt;""),"","ERR"),"")</f>
        <v/>
      </c>
      <c r="F1577" s="86" t="s">
        <v>185</v>
      </c>
      <c r="G1577" s="87" t="s">
        <v>186</v>
      </c>
      <c r="H1577" s="88" t="s">
        <v>184</v>
      </c>
      <c r="I1577" s="89" t="s">
        <v>176</v>
      </c>
      <c r="J1577" s="90" t="s">
        <v>174</v>
      </c>
      <c r="K1577" s="179" t="s">
        <v>180</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Resultado Elecciones 28M 2023</v>
      </c>
      <c r="C1578" s="85" t="str" cm="1">
        <f t="array" ref="C1578">IFERROR(INDEX('03.Muestra'!$F$8:$F$42,SMALL(IF("Página Web"='03.Muestra'!$D$8:$D$42,ROW('03.Muestra'!$F$8:$F$42)-MIN(ROW('03.Muestra'!$D$8:$D$42))+1,""),ROW()-1576)),"")</f>
        <v>https://elecciones.comunidad.madrid/es/resultados-elecciones-asamblea-madrid-28m-2023</v>
      </c>
      <c r="D1578" s="99" t="s">
        <v>174</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20</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Normativa electoral</v>
      </c>
      <c r="C1579" s="85" t="str" cm="1">
        <f t="array" ref="C1579">IFERROR(INDEX('03.Muestra'!$F$8:$F$42,SMALL(IF("Página Web"='03.Muestra'!$D$8:$D$42,ROW('03.Muestra'!$F$8:$F$42)-MIN(ROW('03.Muestra'!$D$8:$D$42))+1,""),ROW()-1576)),"")</f>
        <v>https://elecciones.comunidad.madrid/es/informacion-electoral/normativa-electoral</v>
      </c>
      <c r="D1579" s="99" t="s">
        <v>174</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Calendario electoral</v>
      </c>
      <c r="C1580" s="85" t="str" cm="1">
        <f t="array" ref="C1580">IFERROR(INDEX('03.Muestra'!$F$8:$F$42,SMALL(IF("Página Web"='03.Muestra'!$D$8:$D$42,ROW('03.Muestra'!$F$8:$F$42)-MIN(ROW('03.Muestra'!$D$8:$D$42))+1,""),ROW()-1576)),"")</f>
        <v>https://elecciones.comunidad.madrid/es/informacion-electoral/calendario-electoral</v>
      </c>
      <c r="D1580" s="99" t="s">
        <v>174</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Direcciones y teléfonos</v>
      </c>
      <c r="C1581" s="85" t="str" cm="1">
        <f t="array" ref="C1581">IFERROR(INDEX('03.Muestra'!$F$8:$F$42,SMALL(IF("Página Web"='03.Muestra'!$D$8:$D$42,ROW('03.Muestra'!$F$8:$F$42)-MIN(ROW('03.Muestra'!$D$8:$D$42))+1,""),ROW()-1576)),"")</f>
        <v>https://elecciones.comunidad.madrid/es/juntas-electorales/direcciones-telefonos</v>
      </c>
      <c r="D1581" s="99" t="s">
        <v>174</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Impresos electrónicos</v>
      </c>
      <c r="C1582" s="85" t="str" cm="1">
        <f t="array" ref="C1582">IFERROR(INDEX('03.Muestra'!$F$8:$F$42,SMALL(IF("Página Web"='03.Muestra'!$D$8:$D$42,ROW('03.Muestra'!$F$8:$F$42)-MIN(ROW('03.Muestra'!$D$8:$D$42))+1,""),ROW()-1576)),"")</f>
        <v>https://elecciones.comunidad.madrid/es/formaciones-politicas/impresos-electronicos</v>
      </c>
      <c r="D1582" s="99" t="s">
        <v>174</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Listado de candidaturas</v>
      </c>
      <c r="C1583" s="85" t="str" cm="1">
        <f t="array" ref="C1583">IFERROR(INDEX('03.Muestra'!$F$8:$F$42,SMALL(IF("Página Web"='03.Muestra'!$D$8:$D$42,ROW('03.Muestra'!$F$8:$F$42)-MIN(ROW('03.Muestra'!$D$8:$D$42))+1,""),ROW()-1576)),"")</f>
        <v>https://elecciones.comunidad.madrid/es/formaciones-politicas/listado-candidaturas-proclamadas</v>
      </c>
      <c r="D1583" s="99" t="s">
        <v>174</v>
      </c>
      <c r="E1583" s="79" t="str">
        <f t="shared" si="82"/>
        <v/>
      </c>
      <c r="F1583" s="18"/>
      <c r="G1583" s="18"/>
      <c r="H1583" s="18"/>
      <c r="I1583" s="18"/>
      <c r="J1583" s="18"/>
      <c r="K1583" s="184"/>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Partido Feminista de España</v>
      </c>
      <c r="C1584" s="85" t="str" cm="1">
        <f t="array" ref="C1584">IFERROR(INDEX('03.Muestra'!$F$8:$F$42,SMALL(IF("Página Web"='03.Muestra'!$D$8:$D$42,ROW('03.Muestra'!$F$8:$F$42)-MIN(ROW('03.Muestra'!$D$8:$D$42))+1,""),ROW()-1576)),"")</f>
        <v>https://elecciones.comunidad.madrid/es/formaciones-politicas/listado-candidaturas/partido-feminista-espana</v>
      </c>
      <c r="D1584" s="99" t="s">
        <v>174</v>
      </c>
      <c r="E1584" s="79" t="str">
        <f t="shared" si="82"/>
        <v/>
      </c>
      <c r="F1584" s="18"/>
      <c r="G1584" s="18"/>
      <c r="H1584" s="18"/>
      <c r="I1584" s="18"/>
      <c r="J1584" s="18"/>
      <c r="K1584" s="184"/>
      <c r="L1584" s="18"/>
    </row>
    <row r="1585" spans="1:12" ht="12" customHeight="1">
      <c r="A1585" s="39" cm="1">
        <f t="array" ref="A1585">IFERROR(INDEX('03.Muestra'!$B$8:$B$42,SMALL(IF("Página Web"='03.Muestra'!$D$8:$D$42,ROW('03.Muestra'!$B$8:$B$42)-MIN(ROW('03.Muestra'!$D$8:$D$42))+1,""),ROW()-1576)),"")</f>
        <v>9</v>
      </c>
      <c r="B1585" s="85" t="str" cm="1">
        <f t="array" ref="B1585">IFERROR(INDEX('03.Muestra'!$C$8:$C$42,SMALL(IF("Página Web"='03.Muestra'!$D$8:$D$42,ROW('03.Muestra'!$C$8:$C$42)-MIN(ROW('03.Muestra'!$D$8:$D$42))+1,""),ROW()-1576)),"")</f>
        <v>¿Dónde voto?</v>
      </c>
      <c r="C1585" s="85" t="str" cm="1">
        <f t="array" ref="C1585">IFERROR(INDEX('03.Muestra'!$F$8:$F$42,SMALL(IF("Página Web"='03.Muestra'!$D$8:$D$42,ROW('03.Muestra'!$F$8:$F$42)-MIN(ROW('03.Muestra'!$D$8:$D$42))+1,""),ROW()-1576)),"")</f>
        <v>https://elecciones.comunidad.madrid/es/votar/donde-voto</v>
      </c>
      <c r="D1585" s="99" t="s">
        <v>174</v>
      </c>
      <c r="E1585" s="79" t="str">
        <f t="shared" si="82"/>
        <v/>
      </c>
      <c r="F1585" s="18"/>
      <c r="G1585" s="18"/>
      <c r="H1585" s="18"/>
      <c r="I1585" s="18"/>
      <c r="J1585" s="18"/>
      <c r="K1585" s="184"/>
      <c r="L1585" s="18"/>
    </row>
    <row r="1586" spans="1:12" ht="12" customHeight="1">
      <c r="A1586" s="39" cm="1">
        <f t="array" ref="A1586">IFERROR(INDEX('03.Muestra'!$B$8:$B$42,SMALL(IF("Página Web"='03.Muestra'!$D$8:$D$42,ROW('03.Muestra'!$B$8:$B$42)-MIN(ROW('03.Muestra'!$D$8:$D$42))+1,""),ROW()-1576)),"")</f>
        <v>10</v>
      </c>
      <c r="B1586" s="85" t="str" cm="1">
        <f t="array" ref="B1586">IFERROR(INDEX('03.Muestra'!$C$8:$C$42,SMALL(IF("Página Web"='03.Muestra'!$D$8:$D$42,ROW('03.Muestra'!$C$8:$C$42)-MIN(ROW('03.Muestra'!$D$8:$D$42))+1,""),ROW()-1576)),"")</f>
        <v>Voto presencial</v>
      </c>
      <c r="C1586" s="85" t="str" cm="1">
        <f t="array" ref="C1586">IFERROR(INDEX('03.Muestra'!$F$8:$F$42,SMALL(IF("Página Web"='03.Muestra'!$D$8:$D$42,ROW('03.Muestra'!$F$8:$F$42)-MIN(ROW('03.Muestra'!$D$8:$D$42))+1,""),ROW()-1576)),"")</f>
        <v>https://elecciones.comunidad.madrid/es/voto-local-electoral/voto-presencial</v>
      </c>
      <c r="D1586" s="99" t="s">
        <v>174</v>
      </c>
      <c r="E1586" s="79" t="str">
        <f t="shared" si="82"/>
        <v/>
      </c>
      <c r="F1586" s="18"/>
      <c r="G1586" s="18"/>
      <c r="H1586" s="18"/>
      <c r="I1586" s="18"/>
      <c r="J1586" s="18"/>
      <c r="K1586" s="184"/>
      <c r="L1586" s="18"/>
    </row>
    <row r="1587" spans="1:12" ht="12" customHeight="1">
      <c r="A1587" s="39" cm="1">
        <f t="array" ref="A1587">IFERROR(INDEX('03.Muestra'!$B$8:$B$42,SMALL(IF("Página Web"='03.Muestra'!$D$8:$D$42,ROW('03.Muestra'!$B$8:$B$42)-MIN(ROW('03.Muestra'!$D$8:$D$42))+1,""),ROW()-1576)),"")</f>
        <v>11</v>
      </c>
      <c r="B1587" s="85" t="str" cm="1">
        <f t="array" ref="B1587">IFERROR(INDEX('03.Muestra'!$C$8:$C$42,SMALL(IF("Página Web"='03.Muestra'!$D$8:$D$42,ROW('03.Muestra'!$C$8:$C$42)-MIN(ROW('03.Muestra'!$D$8:$D$42))+1,""),ROW()-1576)),"")</f>
        <v>Ciudadanos temporalmente en el extranjero</v>
      </c>
      <c r="C1587" s="85" t="str" cm="1">
        <f t="array" ref="C1587">IFERROR(INDEX('03.Muestra'!$F$8:$F$42,SMALL(IF("Página Web"='03.Muestra'!$D$8:$D$42,ROW('03.Muestra'!$F$8:$F$42)-MIN(ROW('03.Muestra'!$D$8:$D$42))+1,""),ROW()-1576)),"")</f>
        <v>https://elecciones.comunidad.madrid/es/voto-correo/solicitud-voto-temporalmente-ausentes</v>
      </c>
      <c r="D1587" s="99" t="s">
        <v>174</v>
      </c>
      <c r="E1587" s="79" t="str">
        <f t="shared" si="82"/>
        <v/>
      </c>
      <c r="F1587" s="18"/>
      <c r="G1587" s="18"/>
      <c r="H1587" s="18"/>
      <c r="I1587" s="18"/>
      <c r="J1587" s="18"/>
      <c r="K1587" s="184"/>
      <c r="L1587" s="18"/>
    </row>
    <row r="1588" spans="1:12" ht="12" customHeight="1">
      <c r="A1588" s="39" cm="1">
        <f t="array" ref="A1588">IFERROR(INDEX('03.Muestra'!$B$8:$B$42,SMALL(IF("Página Web"='03.Muestra'!$D$8:$D$42,ROW('03.Muestra'!$B$8:$B$42)-MIN(ROW('03.Muestra'!$D$8:$D$42))+1,""),ROW()-1576)),"")</f>
        <v>12</v>
      </c>
      <c r="B1588" s="85" t="str" cm="1">
        <f t="array" ref="B1588">IFERROR(INDEX('03.Muestra'!$C$8:$C$42,SMALL(IF("Página Web"='03.Muestra'!$D$8:$D$42,ROW('03.Muestra'!$C$8:$C$42)-MIN(ROW('03.Muestra'!$D$8:$D$42))+1,""),ROW()-1576)),"")</f>
        <v>Nuevo votante</v>
      </c>
      <c r="C1588" s="85" t="str" cm="1">
        <f t="array" ref="C1588">IFERROR(INDEX('03.Muestra'!$F$8:$F$42,SMALL(IF("Página Web"='03.Muestra'!$D$8:$D$42,ROW('03.Muestra'!$F$8:$F$42)-MIN(ROW('03.Muestra'!$D$8:$D$42))+1,""),ROW()-1576)),"")</f>
        <v>https://elecciones.comunidad.madrid/es/votar/nuevo-votante</v>
      </c>
      <c r="D1588" s="99" t="s">
        <v>174</v>
      </c>
      <c r="E1588" s="79" t="str">
        <f t="shared" si="82"/>
        <v/>
      </c>
      <c r="F1588" s="18"/>
      <c r="G1588" s="18"/>
      <c r="H1588" s="18"/>
      <c r="I1588" s="18"/>
      <c r="J1588" s="18"/>
      <c r="K1588" s="184"/>
      <c r="L1588" s="18"/>
    </row>
    <row r="1589" spans="1:12" ht="12" customHeight="1">
      <c r="A1589" s="39" cm="1">
        <f t="array" ref="A1589">IFERROR(INDEX('03.Muestra'!$B$8:$B$42,SMALL(IF("Página Web"='03.Muestra'!$D$8:$D$42,ROW('03.Muestra'!$B$8:$B$42)-MIN(ROW('03.Muestra'!$D$8:$D$42))+1,""),ROW()-1576)),"")</f>
        <v>13</v>
      </c>
      <c r="B1589" s="85" t="str" cm="1">
        <f t="array" ref="B1589">IFERROR(INDEX('03.Muestra'!$C$8:$C$42,SMALL(IF("Página Web"='03.Muestra'!$D$8:$D$42,ROW('03.Muestra'!$C$8:$C$42)-MIN(ROW('03.Muestra'!$D$8:$D$42))+1,""),ROW()-1576)),"")</f>
        <v>Simulación método D'Hondt</v>
      </c>
      <c r="C1589" s="85" t="str" cm="1">
        <f t="array" ref="C1589">IFERROR(INDEX('03.Muestra'!$F$8:$F$42,SMALL(IF("Página Web"='03.Muestra'!$D$8:$D$42,ROW('03.Muestra'!$F$8:$F$42)-MIN(ROW('03.Muestra'!$D$8:$D$42))+1,""),ROW()-1576)),"")</f>
        <v>https://elecciones.comunidad.madrid/es/informacion-util/simulacion-metodo-dhondt</v>
      </c>
      <c r="D1589" s="99" t="s">
        <v>174</v>
      </c>
      <c r="E1589" s="79" t="str">
        <f t="shared" si="82"/>
        <v/>
      </c>
      <c r="F1589" s="18"/>
      <c r="G1589" s="18"/>
      <c r="H1589" s="18"/>
      <c r="I1589" s="18"/>
      <c r="J1589" s="18"/>
      <c r="K1589" s="184"/>
      <c r="L1589" s="18"/>
    </row>
    <row r="1590" spans="1:12" ht="12" customHeight="1">
      <c r="A1590" s="39" cm="1">
        <f t="array" ref="A1590">IFERROR(INDEX('03.Muestra'!$B$8:$B$42,SMALL(IF("Página Web"='03.Muestra'!$D$8:$D$42,ROW('03.Muestra'!$B$8:$B$42)-MIN(ROW('03.Muestra'!$D$8:$D$42))+1,""),ROW()-1576)),"")</f>
        <v>14</v>
      </c>
      <c r="B1590" s="85" t="str" cm="1">
        <f t="array" ref="B1590">IFERROR(INDEX('03.Muestra'!$C$8:$C$42,SMALL(IF("Página Web"='03.Muestra'!$D$8:$D$42,ROW('03.Muestra'!$C$8:$C$42)-MIN(ROW('03.Muestra'!$D$8:$D$42))+1,""),ROW()-1576)),"")</f>
        <v>Ley D'Hondt</v>
      </c>
      <c r="C1590" s="85" t="str" cm="1">
        <f t="array" ref="C1590">IFERROR(INDEX('03.Muestra'!$F$8:$F$42,SMALL(IF("Página Web"='03.Muestra'!$D$8:$D$42,ROW('03.Muestra'!$F$8:$F$42)-MIN(ROW('03.Muestra'!$D$8:$D$42))+1,""),ROW()-1576)),"")</f>
        <v>https://elecciones.comunidad.madrid/es/resultados/ley_d_hondt</v>
      </c>
      <c r="D1590" s="99" t="s">
        <v>174</v>
      </c>
      <c r="E1590" s="79" t="str">
        <f t="shared" si="82"/>
        <v/>
      </c>
      <c r="F1590" s="18"/>
      <c r="G1590" s="18"/>
      <c r="H1590" s="18"/>
      <c r="I1590" s="18"/>
      <c r="J1590" s="18"/>
      <c r="K1590" s="184"/>
      <c r="L1590" s="18"/>
    </row>
    <row r="1591" spans="1:12" ht="12" customHeight="1">
      <c r="A1591" s="39" cm="1">
        <f t="array" ref="A1591">IFERROR(INDEX('03.Muestra'!$B$8:$B$42,SMALL(IF("Página Web"='03.Muestra'!$D$8:$D$42,ROW('03.Muestra'!$B$8:$B$42)-MIN(ROW('03.Muestra'!$D$8:$D$42))+1,""),ROW()-1576)),"")</f>
        <v>15</v>
      </c>
      <c r="B1591" s="85" t="str" cm="1">
        <f t="array" ref="B1591">IFERROR(INDEX('03.Muestra'!$C$8:$C$42,SMALL(IF("Página Web"='03.Muestra'!$D$8:$D$42,ROW('03.Muestra'!$C$8:$C$42)-MIN(ROW('03.Muestra'!$D$8:$D$42))+1,""),ROW()-1576)),"")</f>
        <v>Voto por correo elector CERA en España</v>
      </c>
      <c r="C1591" s="85" t="str" cm="1">
        <f t="array" ref="C1591">IFERROR(INDEX('03.Muestra'!$F$8:$F$42,SMALL(IF("Página Web"='03.Muestra'!$D$8:$D$42,ROW('03.Muestra'!$F$8:$F$42)-MIN(ROW('03.Muestra'!$D$8:$D$42))+1,""),ROW()-1576)),"")</f>
        <v>https://elecciones.comunidad.madrid/es/preguntas-frecuentes/voto-correo-electores-residentes-extranjero</v>
      </c>
      <c r="D1591" s="99" t="s">
        <v>174</v>
      </c>
      <c r="E1591" s="79" t="str">
        <f t="shared" si="82"/>
        <v/>
      </c>
      <c r="F1591" s="18"/>
      <c r="G1591" s="18"/>
      <c r="H1591" s="18"/>
      <c r="I1591" s="18"/>
      <c r="J1591" s="18"/>
      <c r="K1591" s="184"/>
      <c r="L1591" s="18"/>
    </row>
    <row r="1592" spans="1:12" ht="12" customHeight="1">
      <c r="A1592" s="39" cm="1">
        <f t="array" ref="A1592">IFERROR(INDEX('03.Muestra'!$B$8:$B$42,SMALL(IF("Página Web"='03.Muestra'!$D$8:$D$42,ROW('03.Muestra'!$B$8:$B$42)-MIN(ROW('03.Muestra'!$D$8:$D$42))+1,""),ROW()-1576)),"")</f>
        <v>16</v>
      </c>
      <c r="B1592" s="85" t="str" cm="1">
        <f t="array" ref="B1592">IFERROR(INDEX('03.Muestra'!$C$8:$C$42,SMALL(IF("Página Web"='03.Muestra'!$D$8:$D$42,ROW('03.Muestra'!$C$8:$C$42)-MIN(ROW('03.Muestra'!$D$8:$D$42))+1,""),ROW()-1576)),"")</f>
        <v>Contacto</v>
      </c>
      <c r="C1592" s="85" t="str" cm="1">
        <f t="array" ref="C1592">IFERROR(INDEX('03.Muestra'!$F$8:$F$42,SMALL(IF("Página Web"='03.Muestra'!$D$8:$D$42,ROW('03.Muestra'!$F$8:$F$42)-MIN(ROW('03.Muestra'!$D$8:$D$42))+1,""),ROW()-1576)),"")</f>
        <v>https://elecciones.comunidad.madrid/es/buzon-de-sugerencias</v>
      </c>
      <c r="D1592" s="99" t="s">
        <v>174</v>
      </c>
      <c r="E1592" s="79" t="str">
        <f t="shared" si="82"/>
        <v/>
      </c>
      <c r="F1592" s="18"/>
      <c r="G1592" s="18"/>
      <c r="H1592" s="18"/>
      <c r="I1592" s="18"/>
      <c r="J1592" s="18"/>
      <c r="K1592" s="184"/>
      <c r="L1592" s="18"/>
    </row>
    <row r="1593" spans="1:12" ht="12" customHeight="1">
      <c r="A1593" s="39" cm="1">
        <f t="array" ref="A1593">IFERROR(INDEX('03.Muestra'!$B$8:$B$42,SMALL(IF("Página Web"='03.Muestra'!$D$8:$D$42,ROW('03.Muestra'!$B$8:$B$42)-MIN(ROW('03.Muestra'!$D$8:$D$42))+1,""),ROW()-1576)),"")</f>
        <v>17</v>
      </c>
      <c r="B1593" s="85" t="str" cm="1">
        <f t="array" ref="B1593">IFERROR(INDEX('03.Muestra'!$C$8:$C$42,SMALL(IF("Página Web"='03.Muestra'!$D$8:$D$42,ROW('03.Muestra'!$C$8:$C$42)-MIN(ROW('03.Muestra'!$D$8:$D$42))+1,""),ROW()-1576)),"")</f>
        <v>Buscador</v>
      </c>
      <c r="C1593" s="85" t="str" cm="1">
        <f t="array" ref="C1593">IFERROR(INDEX('03.Muestra'!$F$8:$F$42,SMALL(IF("Página Web"='03.Muestra'!$D$8:$D$42,ROW('03.Muestra'!$F$8:$F$42)-MIN(ROW('03.Muestra'!$D$8:$D$42))+1,""),ROW()-1576)),"")</f>
        <v>https://elecciones.comunidad.madrid/es/search?search_api_fulltext=partido</v>
      </c>
      <c r="D1593" s="99" t="s">
        <v>174</v>
      </c>
      <c r="E1593" s="79" t="str">
        <f t="shared" si="82"/>
        <v/>
      </c>
      <c r="F1593" s="18"/>
      <c r="G1593" s="18"/>
      <c r="H1593" s="18"/>
      <c r="I1593" s="18"/>
      <c r="J1593" s="18"/>
      <c r="K1593" s="184"/>
      <c r="L1593" s="18"/>
    </row>
    <row r="1594" spans="1:12" ht="12" customHeight="1">
      <c r="A1594" s="39" cm="1">
        <f t="array" ref="A1594">IFERROR(INDEX('03.Muestra'!$B$8:$B$42,SMALL(IF("Página Web"='03.Muestra'!$D$8:$D$42,ROW('03.Muestra'!$B$8:$B$42)-MIN(ROW('03.Muestra'!$D$8:$D$42))+1,""),ROW()-1576)),"")</f>
        <v>18</v>
      </c>
      <c r="B1594" s="85" t="str" cm="1">
        <f t="array" ref="B1594">IFERROR(INDEX('03.Muestra'!$C$8:$C$42,SMALL(IF("Página Web"='03.Muestra'!$D$8:$D$42,ROW('03.Muestra'!$C$8:$C$42)-MIN(ROW('03.Muestra'!$D$8:$D$42))+1,""),ROW()-1576)),"")</f>
        <v>Aviso Legal-Privacidad</v>
      </c>
      <c r="C1594" s="85" t="str" cm="1">
        <f t="array" ref="C1594">IFERROR(INDEX('03.Muestra'!$F$8:$F$42,SMALL(IF("Página Web"='03.Muestra'!$D$8:$D$42,ROW('03.Muestra'!$F$8:$F$42)-MIN(ROW('03.Muestra'!$D$8:$D$42))+1,""),ROW()-1576)),"")</f>
        <v>https://elecciones.comunidad.madrid/es/aviso-legal</v>
      </c>
      <c r="D1594" s="99" t="s">
        <v>174</v>
      </c>
      <c r="E1594" s="79" t="str">
        <f t="shared" si="82"/>
        <v/>
      </c>
      <c r="F1594" s="18"/>
      <c r="G1594" s="18"/>
      <c r="H1594" s="18"/>
      <c r="I1594" s="18"/>
      <c r="J1594" s="18"/>
      <c r="K1594" s="184"/>
      <c r="L1594" s="18"/>
    </row>
    <row r="1595" spans="1:12" ht="12" customHeight="1">
      <c r="A1595" s="39" cm="1">
        <f t="array" ref="A1595">IFERROR(INDEX('03.Muestra'!$B$8:$B$42,SMALL(IF("Página Web"='03.Muestra'!$D$8:$D$42,ROW('03.Muestra'!$B$8:$B$42)-MIN(ROW('03.Muestra'!$D$8:$D$42))+1,""),ROW()-1576)),"")</f>
        <v>19</v>
      </c>
      <c r="B1595" s="85" t="str" cm="1">
        <f t="array" ref="B1595">IFERROR(INDEX('03.Muestra'!$C$8:$C$42,SMALL(IF("Página Web"='03.Muestra'!$D$8:$D$42,ROW('03.Muestra'!$C$8:$C$42)-MIN(ROW('03.Muestra'!$D$8:$D$42))+1,""),ROW()-1576)),"")</f>
        <v>Mapa Web</v>
      </c>
      <c r="C1595" s="85" t="str" cm="1">
        <f t="array" ref="C1595">IFERROR(INDEX('03.Muestra'!$F$8:$F$42,SMALL(IF("Página Web"='03.Muestra'!$D$8:$D$42,ROW('03.Muestra'!$F$8:$F$42)-MIN(ROW('03.Muestra'!$D$8:$D$42))+1,""),ROW()-1576)),"")</f>
        <v>https://elecciones.comunidad.madrid/es/sitemap</v>
      </c>
      <c r="D1595" s="99" t="s">
        <v>174</v>
      </c>
      <c r="E1595" s="79" t="str">
        <f t="shared" si="82"/>
        <v/>
      </c>
      <c r="F1595" s="18"/>
      <c r="G1595" s="18"/>
      <c r="H1595" s="18"/>
      <c r="I1595" s="18"/>
      <c r="J1595" s="18"/>
      <c r="K1595" s="184"/>
      <c r="L1595" s="18"/>
    </row>
    <row r="1596" spans="1:12" ht="12" customHeight="1">
      <c r="A1596" s="39" cm="1">
        <f t="array" ref="A1596">IFERROR(INDEX('03.Muestra'!$B$8:$B$42,SMALL(IF("Página Web"='03.Muestra'!$D$8:$D$42,ROW('03.Muestra'!$B$8:$B$42)-MIN(ROW('03.Muestra'!$D$8:$D$42))+1,""),ROW()-1576)),"")</f>
        <v>20</v>
      </c>
      <c r="B1596" s="85" t="str" cm="1">
        <f t="array" ref="B1596">IFERROR(INDEX('03.Muestra'!$C$8:$C$42,SMALL(IF("Página Web"='03.Muestra'!$D$8:$D$42,ROW('03.Muestra'!$C$8:$C$42)-MIN(ROW('03.Muestra'!$D$8:$D$42))+1,""),ROW()-1576)),"")</f>
        <v>Declaracion Accesibilidad</v>
      </c>
      <c r="C1596" s="85" t="str" cm="1">
        <f t="array" ref="C1596">IFERROR(INDEX('03.Muestra'!$F$8:$F$42,SMALL(IF("Página Web"='03.Muestra'!$D$8:$D$42,ROW('03.Muestra'!$F$8:$F$42)-MIN(ROW('03.Muestra'!$D$8:$D$42))+1,""),ROW()-1576)),"")</f>
        <v>https://elecciones.comunidad.madrid/es/accesibilidad</v>
      </c>
      <c r="D1596" s="99" t="s">
        <v>174</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ref="D1597:D1611" si="83">IF(AND(B1597&lt;&gt;"",C1597&lt;&gt;""),"N/T","")</f>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181</v>
      </c>
      <c r="B1614" s="23" t="s">
        <v>173</v>
      </c>
      <c r="C1614" s="24" t="s">
        <v>266</v>
      </c>
      <c r="D1614" s="25" t="s">
        <v>183</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Inicio</v>
      </c>
      <c r="C1615" s="85" t="str" cm="1">
        <f t="array" ref="C1615">IFERROR(INDEX('03.Muestra'!$F$8:$F$42,SMALL(IF("Página Web"='03.Muestra'!$D$8:$D$42,ROW('03.Muestra'!$F$8:$F$42)-MIN(ROW('03.Muestra'!$D$8:$D$42))+1,""),ROW()-1614)),"")</f>
        <v>https://elecciones.comunidad.madrid/es</v>
      </c>
      <c r="D1615" s="99" t="s">
        <v>184</v>
      </c>
      <c r="E1615" s="79" t="str">
        <f t="shared" ref="E1615:E1649" si="84">IF(D1615&lt;&gt;"",IF(AND(B1615&lt;&gt;"",C1615&lt;&gt;""),"","ERR"),"")</f>
        <v/>
      </c>
      <c r="F1615" s="86" t="s">
        <v>185</v>
      </c>
      <c r="G1615" s="87" t="s">
        <v>186</v>
      </c>
      <c r="H1615" s="88" t="s">
        <v>184</v>
      </c>
      <c r="I1615" s="89" t="s">
        <v>176</v>
      </c>
      <c r="J1615" s="90" t="s">
        <v>174</v>
      </c>
      <c r="K1615" s="179" t="s">
        <v>180</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Resultado Elecciones 28M 2023</v>
      </c>
      <c r="C1616" s="85" t="str" cm="1">
        <f t="array" ref="C1616">IFERROR(INDEX('03.Muestra'!$F$8:$F$42,SMALL(IF("Página Web"='03.Muestra'!$D$8:$D$42,ROW('03.Muestra'!$F$8:$F$42)-MIN(ROW('03.Muestra'!$D$8:$D$42))+1,""),ROW()-1614)),"")</f>
        <v>https://elecciones.comunidad.madrid/es/resultados-elecciones-asamblea-madrid-28m-2023</v>
      </c>
      <c r="D1616" s="99" t="s">
        <v>184</v>
      </c>
      <c r="E1616" s="79" t="str">
        <f t="shared" si="84"/>
        <v/>
      </c>
      <c r="F1616" s="91">
        <f ca="1">COUNTIF($D1615:INDIRECT("$D" &amp;  SUM(ROW()-1,'03.Muestra'!$D$45)-1),F1615)</f>
        <v>0</v>
      </c>
      <c r="G1616" s="91">
        <f ca="1">COUNTIF($D1615:INDIRECT("$D" &amp;  SUM(ROW()-1,'03.Muestra'!$D$45)-1),G1615)</f>
        <v>0</v>
      </c>
      <c r="H1616" s="91">
        <f ca="1">COUNTIF($D1615:INDIRECT("$D" &amp;  SUM(ROW()-1,'03.Muestra'!$D$45)-1),H1615)</f>
        <v>19</v>
      </c>
      <c r="I1616" s="91">
        <f ca="1">COUNTIF($D1615:INDIRECT("$D" &amp;  SUM(ROW()-1,'03.Muestra'!$D$45)-1),I1615)</f>
        <v>0</v>
      </c>
      <c r="J1616" s="91">
        <f ca="1">COUNTIF($D1615:INDIRECT("$D" &amp;  SUM(ROW()-1,'03.Muestra'!$D$45)-1),J1615)</f>
        <v>1</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Normativa electoral</v>
      </c>
      <c r="C1617" s="85" t="str" cm="1">
        <f t="array" ref="C1617">IFERROR(INDEX('03.Muestra'!$F$8:$F$42,SMALL(IF("Página Web"='03.Muestra'!$D$8:$D$42,ROW('03.Muestra'!$F$8:$F$42)-MIN(ROW('03.Muestra'!$D$8:$D$42))+1,""),ROW()-1614)),"")</f>
        <v>https://elecciones.comunidad.madrid/es/informacion-electoral/normativa-electoral</v>
      </c>
      <c r="D1617" s="99" t="s">
        <v>184</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Calendario electoral</v>
      </c>
      <c r="C1618" s="85" t="str" cm="1">
        <f t="array" ref="C1618">IFERROR(INDEX('03.Muestra'!$F$8:$F$42,SMALL(IF("Página Web"='03.Muestra'!$D$8:$D$42,ROW('03.Muestra'!$F$8:$F$42)-MIN(ROW('03.Muestra'!$D$8:$D$42))+1,""),ROW()-1614)),"")</f>
        <v>https://elecciones.comunidad.madrid/es/informacion-electoral/calendario-electoral</v>
      </c>
      <c r="D1618" s="99" t="s">
        <v>184</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Direcciones y teléfonos</v>
      </c>
      <c r="C1619" s="85" t="str" cm="1">
        <f t="array" ref="C1619">IFERROR(INDEX('03.Muestra'!$F$8:$F$42,SMALL(IF("Página Web"='03.Muestra'!$D$8:$D$42,ROW('03.Muestra'!$F$8:$F$42)-MIN(ROW('03.Muestra'!$D$8:$D$42))+1,""),ROW()-1614)),"")</f>
        <v>https://elecciones.comunidad.madrid/es/juntas-electorales/direcciones-telefonos</v>
      </c>
      <c r="D1619" s="99" t="s">
        <v>184</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Impresos electrónicos</v>
      </c>
      <c r="C1620" s="85" t="str" cm="1">
        <f t="array" ref="C1620">IFERROR(INDEX('03.Muestra'!$F$8:$F$42,SMALL(IF("Página Web"='03.Muestra'!$D$8:$D$42,ROW('03.Muestra'!$F$8:$F$42)-MIN(ROW('03.Muestra'!$D$8:$D$42))+1,""),ROW()-1614)),"")</f>
        <v>https://elecciones.comunidad.madrid/es/formaciones-politicas/impresos-electronicos</v>
      </c>
      <c r="D1620" s="99" t="s">
        <v>184</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Listado de candidaturas</v>
      </c>
      <c r="C1621" s="85" t="str" cm="1">
        <f t="array" ref="C1621">IFERROR(INDEX('03.Muestra'!$F$8:$F$42,SMALL(IF("Página Web"='03.Muestra'!$D$8:$D$42,ROW('03.Muestra'!$F$8:$F$42)-MIN(ROW('03.Muestra'!$D$8:$D$42))+1,""),ROW()-1614)),"")</f>
        <v>https://elecciones.comunidad.madrid/es/formaciones-politicas/listado-candidaturas-proclamadas</v>
      </c>
      <c r="D1621" s="99" t="s">
        <v>184</v>
      </c>
      <c r="E1621" s="79" t="str">
        <f t="shared" si="84"/>
        <v/>
      </c>
      <c r="F1621" s="18"/>
      <c r="G1621" s="18"/>
      <c r="H1621" s="18"/>
      <c r="I1621" s="18"/>
      <c r="J1621" s="18"/>
      <c r="K1621" s="184"/>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Partido Feminista de España</v>
      </c>
      <c r="C1622" s="85" t="str" cm="1">
        <f t="array" ref="C1622">IFERROR(INDEX('03.Muestra'!$F$8:$F$42,SMALL(IF("Página Web"='03.Muestra'!$D$8:$D$42,ROW('03.Muestra'!$F$8:$F$42)-MIN(ROW('03.Muestra'!$D$8:$D$42))+1,""),ROW()-1614)),"")</f>
        <v>https://elecciones.comunidad.madrid/es/formaciones-politicas/listado-candidaturas/partido-feminista-espana</v>
      </c>
      <c r="D1622" s="99" t="s">
        <v>184</v>
      </c>
      <c r="E1622" s="79" t="str">
        <f t="shared" si="84"/>
        <v/>
      </c>
      <c r="F1622" s="18"/>
      <c r="G1622" s="18"/>
      <c r="H1622" s="18"/>
      <c r="I1622" s="18"/>
      <c r="J1622" s="18"/>
      <c r="K1622" s="184"/>
    </row>
    <row r="1623" spans="1:11" ht="12" customHeight="1">
      <c r="A1623" s="39" cm="1">
        <f t="array" ref="A1623">IFERROR(INDEX('03.Muestra'!$B$8:$B$42,SMALL(IF("Página Web"='03.Muestra'!$D$8:$D$42,ROW('03.Muestra'!$B$8:$B$42)-MIN(ROW('03.Muestra'!$D$8:$D$42))+1,""),ROW()-1614)),"")</f>
        <v>9</v>
      </c>
      <c r="B1623" s="85" t="str" cm="1">
        <f t="array" ref="B1623">IFERROR(INDEX('03.Muestra'!$C$8:$C$42,SMALL(IF("Página Web"='03.Muestra'!$D$8:$D$42,ROW('03.Muestra'!$C$8:$C$42)-MIN(ROW('03.Muestra'!$D$8:$D$42))+1,""),ROW()-1614)),"")</f>
        <v>¿Dónde voto?</v>
      </c>
      <c r="C1623" s="85" t="str" cm="1">
        <f t="array" ref="C1623">IFERROR(INDEX('03.Muestra'!$F$8:$F$42,SMALL(IF("Página Web"='03.Muestra'!$D$8:$D$42,ROW('03.Muestra'!$F$8:$F$42)-MIN(ROW('03.Muestra'!$D$8:$D$42))+1,""),ROW()-1614)),"")</f>
        <v>https://elecciones.comunidad.madrid/es/votar/donde-voto</v>
      </c>
      <c r="D1623" s="99" t="s">
        <v>184</v>
      </c>
      <c r="E1623" s="79" t="str">
        <f t="shared" si="84"/>
        <v/>
      </c>
      <c r="F1623" s="18"/>
      <c r="G1623" s="18"/>
      <c r="H1623" s="18"/>
      <c r="I1623" s="18"/>
      <c r="J1623" s="18"/>
      <c r="K1623" s="184"/>
    </row>
    <row r="1624" spans="1:11" ht="12" customHeight="1">
      <c r="A1624" s="39" cm="1">
        <f t="array" ref="A1624">IFERROR(INDEX('03.Muestra'!$B$8:$B$42,SMALL(IF("Página Web"='03.Muestra'!$D$8:$D$42,ROW('03.Muestra'!$B$8:$B$42)-MIN(ROW('03.Muestra'!$D$8:$D$42))+1,""),ROW()-1614)),"")</f>
        <v>10</v>
      </c>
      <c r="B1624" s="85" t="str" cm="1">
        <f t="array" ref="B1624">IFERROR(INDEX('03.Muestra'!$C$8:$C$42,SMALL(IF("Página Web"='03.Muestra'!$D$8:$D$42,ROW('03.Muestra'!$C$8:$C$42)-MIN(ROW('03.Muestra'!$D$8:$D$42))+1,""),ROW()-1614)),"")</f>
        <v>Voto presencial</v>
      </c>
      <c r="C1624" s="85" t="str" cm="1">
        <f t="array" ref="C1624">IFERROR(INDEX('03.Muestra'!$F$8:$F$42,SMALL(IF("Página Web"='03.Muestra'!$D$8:$D$42,ROW('03.Muestra'!$F$8:$F$42)-MIN(ROW('03.Muestra'!$D$8:$D$42))+1,""),ROW()-1614)),"")</f>
        <v>https://elecciones.comunidad.madrid/es/voto-local-electoral/voto-presencial</v>
      </c>
      <c r="D1624" s="99" t="s">
        <v>184</v>
      </c>
      <c r="E1624" s="79" t="str">
        <f t="shared" si="84"/>
        <v/>
      </c>
      <c r="F1624" s="18"/>
      <c r="G1624" s="18"/>
      <c r="H1624" s="18"/>
      <c r="I1624" s="18"/>
      <c r="J1624" s="18"/>
      <c r="K1624" s="184"/>
    </row>
    <row r="1625" spans="1:11" ht="12" customHeight="1">
      <c r="A1625" s="39" cm="1">
        <f t="array" ref="A1625">IFERROR(INDEX('03.Muestra'!$B$8:$B$42,SMALL(IF("Página Web"='03.Muestra'!$D$8:$D$42,ROW('03.Muestra'!$B$8:$B$42)-MIN(ROW('03.Muestra'!$D$8:$D$42))+1,""),ROW()-1614)),"")</f>
        <v>11</v>
      </c>
      <c r="B1625" s="85" t="str" cm="1">
        <f t="array" ref="B1625">IFERROR(INDEX('03.Muestra'!$C$8:$C$42,SMALL(IF("Página Web"='03.Muestra'!$D$8:$D$42,ROW('03.Muestra'!$C$8:$C$42)-MIN(ROW('03.Muestra'!$D$8:$D$42))+1,""),ROW()-1614)),"")</f>
        <v>Ciudadanos temporalmente en el extranjero</v>
      </c>
      <c r="C1625" s="85" t="str" cm="1">
        <f t="array" ref="C1625">IFERROR(INDEX('03.Muestra'!$F$8:$F$42,SMALL(IF("Página Web"='03.Muestra'!$D$8:$D$42,ROW('03.Muestra'!$F$8:$F$42)-MIN(ROW('03.Muestra'!$D$8:$D$42))+1,""),ROW()-1614)),"")</f>
        <v>https://elecciones.comunidad.madrid/es/voto-correo/solicitud-voto-temporalmente-ausentes</v>
      </c>
      <c r="D1625" s="99" t="s">
        <v>184</v>
      </c>
      <c r="E1625" s="79" t="str">
        <f t="shared" si="84"/>
        <v/>
      </c>
      <c r="F1625" s="18"/>
      <c r="G1625" s="18"/>
      <c r="H1625" s="18"/>
      <c r="I1625" s="18"/>
      <c r="J1625" s="18"/>
      <c r="K1625" s="184"/>
    </row>
    <row r="1626" spans="1:11" ht="12" customHeight="1">
      <c r="A1626" s="39" cm="1">
        <f t="array" ref="A1626">IFERROR(INDEX('03.Muestra'!$B$8:$B$42,SMALL(IF("Página Web"='03.Muestra'!$D$8:$D$42,ROW('03.Muestra'!$B$8:$B$42)-MIN(ROW('03.Muestra'!$D$8:$D$42))+1,""),ROW()-1614)),"")</f>
        <v>12</v>
      </c>
      <c r="B1626" s="85" t="str" cm="1">
        <f t="array" ref="B1626">IFERROR(INDEX('03.Muestra'!$C$8:$C$42,SMALL(IF("Página Web"='03.Muestra'!$D$8:$D$42,ROW('03.Muestra'!$C$8:$C$42)-MIN(ROW('03.Muestra'!$D$8:$D$42))+1,""),ROW()-1614)),"")</f>
        <v>Nuevo votante</v>
      </c>
      <c r="C1626" s="85" t="str" cm="1">
        <f t="array" ref="C1626">IFERROR(INDEX('03.Muestra'!$F$8:$F$42,SMALL(IF("Página Web"='03.Muestra'!$D$8:$D$42,ROW('03.Muestra'!$F$8:$F$42)-MIN(ROW('03.Muestra'!$D$8:$D$42))+1,""),ROW()-1614)),"")</f>
        <v>https://elecciones.comunidad.madrid/es/votar/nuevo-votante</v>
      </c>
      <c r="D1626" s="99" t="s">
        <v>184</v>
      </c>
      <c r="E1626" s="79" t="str">
        <f t="shared" si="84"/>
        <v/>
      </c>
      <c r="F1626" s="18"/>
      <c r="G1626" s="18"/>
      <c r="H1626" s="18"/>
      <c r="I1626" s="18"/>
      <c r="J1626" s="18"/>
      <c r="K1626" s="184"/>
    </row>
    <row r="1627" spans="1:11" ht="12" customHeight="1">
      <c r="A1627" s="39" cm="1">
        <f t="array" ref="A1627">IFERROR(INDEX('03.Muestra'!$B$8:$B$42,SMALL(IF("Página Web"='03.Muestra'!$D$8:$D$42,ROW('03.Muestra'!$B$8:$B$42)-MIN(ROW('03.Muestra'!$D$8:$D$42))+1,""),ROW()-1614)),"")</f>
        <v>13</v>
      </c>
      <c r="B1627" s="85" t="str" cm="1">
        <f t="array" ref="B1627">IFERROR(INDEX('03.Muestra'!$C$8:$C$42,SMALL(IF("Página Web"='03.Muestra'!$D$8:$D$42,ROW('03.Muestra'!$C$8:$C$42)-MIN(ROW('03.Muestra'!$D$8:$D$42))+1,""),ROW()-1614)),"")</f>
        <v>Simulación método D'Hondt</v>
      </c>
      <c r="C1627" s="85" t="str" cm="1">
        <f t="array" ref="C1627">IFERROR(INDEX('03.Muestra'!$F$8:$F$42,SMALL(IF("Página Web"='03.Muestra'!$D$8:$D$42,ROW('03.Muestra'!$F$8:$F$42)-MIN(ROW('03.Muestra'!$D$8:$D$42))+1,""),ROW()-1614)),"")</f>
        <v>https://elecciones.comunidad.madrid/es/informacion-util/simulacion-metodo-dhondt</v>
      </c>
      <c r="D1627" s="99" t="s">
        <v>184</v>
      </c>
      <c r="E1627" s="79" t="str">
        <f t="shared" si="84"/>
        <v/>
      </c>
      <c r="F1627" s="18"/>
      <c r="G1627" s="18"/>
      <c r="H1627" s="18"/>
      <c r="I1627" s="18"/>
      <c r="J1627" s="18"/>
      <c r="K1627" s="184"/>
    </row>
    <row r="1628" spans="1:11" ht="12" customHeight="1">
      <c r="A1628" s="39" cm="1">
        <f t="array" ref="A1628">IFERROR(INDEX('03.Muestra'!$B$8:$B$42,SMALL(IF("Página Web"='03.Muestra'!$D$8:$D$42,ROW('03.Muestra'!$B$8:$B$42)-MIN(ROW('03.Muestra'!$D$8:$D$42))+1,""),ROW()-1614)),"")</f>
        <v>14</v>
      </c>
      <c r="B1628" s="85" t="str" cm="1">
        <f t="array" ref="B1628">IFERROR(INDEX('03.Muestra'!$C$8:$C$42,SMALL(IF("Página Web"='03.Muestra'!$D$8:$D$42,ROW('03.Muestra'!$C$8:$C$42)-MIN(ROW('03.Muestra'!$D$8:$D$42))+1,""),ROW()-1614)),"")</f>
        <v>Ley D'Hondt</v>
      </c>
      <c r="C1628" s="85" t="str" cm="1">
        <f t="array" ref="C1628">IFERROR(INDEX('03.Muestra'!$F$8:$F$42,SMALL(IF("Página Web"='03.Muestra'!$D$8:$D$42,ROW('03.Muestra'!$F$8:$F$42)-MIN(ROW('03.Muestra'!$D$8:$D$42))+1,""),ROW()-1614)),"")</f>
        <v>https://elecciones.comunidad.madrid/es/resultados/ley_d_hondt</v>
      </c>
      <c r="D1628" s="99" t="s">
        <v>184</v>
      </c>
      <c r="E1628" s="79" t="str">
        <f t="shared" si="84"/>
        <v/>
      </c>
      <c r="F1628" s="18"/>
      <c r="G1628" s="18"/>
      <c r="H1628" s="18"/>
      <c r="I1628" s="18"/>
      <c r="J1628" s="18"/>
      <c r="K1628" s="184"/>
    </row>
    <row r="1629" spans="1:11" ht="12" customHeight="1">
      <c r="A1629" s="39" cm="1">
        <f t="array" ref="A1629">IFERROR(INDEX('03.Muestra'!$B$8:$B$42,SMALL(IF("Página Web"='03.Muestra'!$D$8:$D$42,ROW('03.Muestra'!$B$8:$B$42)-MIN(ROW('03.Muestra'!$D$8:$D$42))+1,""),ROW()-1614)),"")</f>
        <v>15</v>
      </c>
      <c r="B1629" s="85" t="str" cm="1">
        <f t="array" ref="B1629">IFERROR(INDEX('03.Muestra'!$C$8:$C$42,SMALL(IF("Página Web"='03.Muestra'!$D$8:$D$42,ROW('03.Muestra'!$C$8:$C$42)-MIN(ROW('03.Muestra'!$D$8:$D$42))+1,""),ROW()-1614)),"")</f>
        <v>Voto por correo elector CERA en España</v>
      </c>
      <c r="C1629" s="85" t="str" cm="1">
        <f t="array" ref="C1629">IFERROR(INDEX('03.Muestra'!$F$8:$F$42,SMALL(IF("Página Web"='03.Muestra'!$D$8:$D$42,ROW('03.Muestra'!$F$8:$F$42)-MIN(ROW('03.Muestra'!$D$8:$D$42))+1,""),ROW()-1614)),"")</f>
        <v>https://elecciones.comunidad.madrid/es/preguntas-frecuentes/voto-correo-electores-residentes-extranjero</v>
      </c>
      <c r="D1629" s="99" t="s">
        <v>184</v>
      </c>
      <c r="E1629" s="79" t="str">
        <f t="shared" si="84"/>
        <v/>
      </c>
      <c r="F1629" s="18"/>
      <c r="G1629" s="18"/>
      <c r="H1629" s="18"/>
      <c r="I1629" s="18"/>
      <c r="J1629" s="18"/>
      <c r="K1629" s="184"/>
    </row>
    <row r="1630" spans="1:11" ht="12" customHeight="1">
      <c r="A1630" s="39" cm="1">
        <f t="array" ref="A1630">IFERROR(INDEX('03.Muestra'!$B$8:$B$42,SMALL(IF("Página Web"='03.Muestra'!$D$8:$D$42,ROW('03.Muestra'!$B$8:$B$42)-MIN(ROW('03.Muestra'!$D$8:$D$42))+1,""),ROW()-1614)),"")</f>
        <v>16</v>
      </c>
      <c r="B1630" s="85" t="str" cm="1">
        <f t="array" ref="B1630">IFERROR(INDEX('03.Muestra'!$C$8:$C$42,SMALL(IF("Página Web"='03.Muestra'!$D$8:$D$42,ROW('03.Muestra'!$C$8:$C$42)-MIN(ROW('03.Muestra'!$D$8:$D$42))+1,""),ROW()-1614)),"")</f>
        <v>Contacto</v>
      </c>
      <c r="C1630" s="85" t="str" cm="1">
        <f t="array" ref="C1630">IFERROR(INDEX('03.Muestra'!$F$8:$F$42,SMALL(IF("Página Web"='03.Muestra'!$D$8:$D$42,ROW('03.Muestra'!$F$8:$F$42)-MIN(ROW('03.Muestra'!$D$8:$D$42))+1,""),ROW()-1614)),"")</f>
        <v>https://elecciones.comunidad.madrid/es/buzon-de-sugerencias</v>
      </c>
      <c r="D1630" s="99" t="s">
        <v>174</v>
      </c>
      <c r="E1630" s="79" t="str">
        <f t="shared" si="84"/>
        <v/>
      </c>
      <c r="F1630" s="18"/>
      <c r="G1630" s="18"/>
      <c r="H1630" s="18"/>
      <c r="I1630" s="18"/>
      <c r="J1630" s="18"/>
      <c r="K1630" s="184"/>
    </row>
    <row r="1631" spans="1:11" ht="12" customHeight="1">
      <c r="A1631" s="39" cm="1">
        <f t="array" ref="A1631">IFERROR(INDEX('03.Muestra'!$B$8:$B$42,SMALL(IF("Página Web"='03.Muestra'!$D$8:$D$42,ROW('03.Muestra'!$B$8:$B$42)-MIN(ROW('03.Muestra'!$D$8:$D$42))+1,""),ROW()-1614)),"")</f>
        <v>17</v>
      </c>
      <c r="B1631" s="85" t="str" cm="1">
        <f t="array" ref="B1631">IFERROR(INDEX('03.Muestra'!$C$8:$C$42,SMALL(IF("Página Web"='03.Muestra'!$D$8:$D$42,ROW('03.Muestra'!$C$8:$C$42)-MIN(ROW('03.Muestra'!$D$8:$D$42))+1,""),ROW()-1614)),"")</f>
        <v>Buscador</v>
      </c>
      <c r="C1631" s="85" t="str" cm="1">
        <f t="array" ref="C1631">IFERROR(INDEX('03.Muestra'!$F$8:$F$42,SMALL(IF("Página Web"='03.Muestra'!$D$8:$D$42,ROW('03.Muestra'!$F$8:$F$42)-MIN(ROW('03.Muestra'!$D$8:$D$42))+1,""),ROW()-1614)),"")</f>
        <v>https://elecciones.comunidad.madrid/es/search?search_api_fulltext=partido</v>
      </c>
      <c r="D1631" s="99" t="s">
        <v>184</v>
      </c>
      <c r="E1631" s="79" t="str">
        <f t="shared" si="84"/>
        <v/>
      </c>
      <c r="F1631" s="18"/>
      <c r="G1631" s="18"/>
      <c r="H1631" s="18"/>
      <c r="I1631" s="18"/>
      <c r="J1631" s="18"/>
      <c r="K1631" s="184"/>
    </row>
    <row r="1632" spans="1:11" ht="12" customHeight="1">
      <c r="A1632" s="39" cm="1">
        <f t="array" ref="A1632">IFERROR(INDEX('03.Muestra'!$B$8:$B$42,SMALL(IF("Página Web"='03.Muestra'!$D$8:$D$42,ROW('03.Muestra'!$B$8:$B$42)-MIN(ROW('03.Muestra'!$D$8:$D$42))+1,""),ROW()-1614)),"")</f>
        <v>18</v>
      </c>
      <c r="B1632" s="85" t="str" cm="1">
        <f t="array" ref="B1632">IFERROR(INDEX('03.Muestra'!$C$8:$C$42,SMALL(IF("Página Web"='03.Muestra'!$D$8:$D$42,ROW('03.Muestra'!$C$8:$C$42)-MIN(ROW('03.Muestra'!$D$8:$D$42))+1,""),ROW()-1614)),"")</f>
        <v>Aviso Legal-Privacidad</v>
      </c>
      <c r="C1632" s="85" t="str" cm="1">
        <f t="array" ref="C1632">IFERROR(INDEX('03.Muestra'!$F$8:$F$42,SMALL(IF("Página Web"='03.Muestra'!$D$8:$D$42,ROW('03.Muestra'!$F$8:$F$42)-MIN(ROW('03.Muestra'!$D$8:$D$42))+1,""),ROW()-1614)),"")</f>
        <v>https://elecciones.comunidad.madrid/es/aviso-legal</v>
      </c>
      <c r="D1632" s="99" t="s">
        <v>184</v>
      </c>
      <c r="E1632" s="79" t="str">
        <f t="shared" si="84"/>
        <v/>
      </c>
      <c r="F1632" s="18"/>
      <c r="G1632" s="18"/>
      <c r="H1632" s="18"/>
      <c r="I1632" s="18"/>
      <c r="J1632" s="18"/>
      <c r="K1632" s="184"/>
    </row>
    <row r="1633" spans="1:11" ht="12" customHeight="1">
      <c r="A1633" s="39" cm="1">
        <f t="array" ref="A1633">IFERROR(INDEX('03.Muestra'!$B$8:$B$42,SMALL(IF("Página Web"='03.Muestra'!$D$8:$D$42,ROW('03.Muestra'!$B$8:$B$42)-MIN(ROW('03.Muestra'!$D$8:$D$42))+1,""),ROW()-1614)),"")</f>
        <v>19</v>
      </c>
      <c r="B1633" s="85" t="str" cm="1">
        <f t="array" ref="B1633">IFERROR(INDEX('03.Muestra'!$C$8:$C$42,SMALL(IF("Página Web"='03.Muestra'!$D$8:$D$42,ROW('03.Muestra'!$C$8:$C$42)-MIN(ROW('03.Muestra'!$D$8:$D$42))+1,""),ROW()-1614)),"")</f>
        <v>Mapa Web</v>
      </c>
      <c r="C1633" s="85" t="str" cm="1">
        <f t="array" ref="C1633">IFERROR(INDEX('03.Muestra'!$F$8:$F$42,SMALL(IF("Página Web"='03.Muestra'!$D$8:$D$42,ROW('03.Muestra'!$F$8:$F$42)-MIN(ROW('03.Muestra'!$D$8:$D$42))+1,""),ROW()-1614)),"")</f>
        <v>https://elecciones.comunidad.madrid/es/sitemap</v>
      </c>
      <c r="D1633" s="99" t="s">
        <v>184</v>
      </c>
      <c r="E1633" s="79" t="str">
        <f t="shared" si="84"/>
        <v/>
      </c>
      <c r="F1633" s="18"/>
      <c r="G1633" s="18"/>
      <c r="H1633" s="18"/>
      <c r="I1633" s="18"/>
      <c r="J1633" s="18"/>
      <c r="K1633" s="184"/>
    </row>
    <row r="1634" spans="1:11" ht="12" customHeight="1">
      <c r="A1634" s="39" cm="1">
        <f t="array" ref="A1634">IFERROR(INDEX('03.Muestra'!$B$8:$B$42,SMALL(IF("Página Web"='03.Muestra'!$D$8:$D$42,ROW('03.Muestra'!$B$8:$B$42)-MIN(ROW('03.Muestra'!$D$8:$D$42))+1,""),ROW()-1614)),"")</f>
        <v>20</v>
      </c>
      <c r="B1634" s="85" t="str" cm="1">
        <f t="array" ref="B1634">IFERROR(INDEX('03.Muestra'!$C$8:$C$42,SMALL(IF("Página Web"='03.Muestra'!$D$8:$D$42,ROW('03.Muestra'!$C$8:$C$42)-MIN(ROW('03.Muestra'!$D$8:$D$42))+1,""),ROW()-1614)),"")</f>
        <v>Declaracion Accesibilidad</v>
      </c>
      <c r="C1634" s="85" t="str" cm="1">
        <f t="array" ref="C1634">IFERROR(INDEX('03.Muestra'!$F$8:$F$42,SMALL(IF("Página Web"='03.Muestra'!$D$8:$D$42,ROW('03.Muestra'!$F$8:$F$42)-MIN(ROW('03.Muestra'!$D$8:$D$42))+1,""),ROW()-1614)),"")</f>
        <v>https://elecciones.comunidad.madrid/es/accesibilidad</v>
      </c>
      <c r="D1634" s="99" t="s">
        <v>184</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ref="D1635:D1649" si="85">IF(AND(B1635&lt;&gt;"",C1635&lt;&gt;""),"N/T","")</f>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181</v>
      </c>
      <c r="B1652" s="23" t="s">
        <v>173</v>
      </c>
      <c r="C1652" s="24" t="s">
        <v>267</v>
      </c>
      <c r="D1652" s="25" t="s">
        <v>183</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Inicio</v>
      </c>
      <c r="C1653" s="85" t="str" cm="1">
        <f t="array" ref="C1653">IFERROR(INDEX('03.Muestra'!$F$8:$F$42,SMALL(IF("Página Web"='03.Muestra'!$D$8:$D$42,ROW('03.Muestra'!$F$8:$F$42)-MIN(ROW('03.Muestra'!$D$8:$D$42))+1,""),ROW()-1652)),"")</f>
        <v>https://elecciones.comunidad.madrid/es</v>
      </c>
      <c r="D1653" s="99" t="s">
        <v>174</v>
      </c>
      <c r="E1653" s="79" t="str">
        <f t="shared" ref="E1653:E1687" si="86">IF(D1653&lt;&gt;"",IF(AND(B1653&lt;&gt;"",C1653&lt;&gt;""),"","ERR"),"")</f>
        <v/>
      </c>
      <c r="F1653" s="86" t="s">
        <v>185</v>
      </c>
      <c r="G1653" s="87" t="s">
        <v>186</v>
      </c>
      <c r="H1653" s="88" t="s">
        <v>184</v>
      </c>
      <c r="I1653" s="89" t="s">
        <v>176</v>
      </c>
      <c r="J1653" s="90" t="s">
        <v>174</v>
      </c>
      <c r="K1653" s="179" t="s">
        <v>180</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Resultado Elecciones 28M 2023</v>
      </c>
      <c r="C1654" s="85" t="str" cm="1">
        <f t="array" ref="C1654">IFERROR(INDEX('03.Muestra'!$F$8:$F$42,SMALL(IF("Página Web"='03.Muestra'!$D$8:$D$42,ROW('03.Muestra'!$F$8:$F$42)-MIN(ROW('03.Muestra'!$D$8:$D$42))+1,""),ROW()-1652)),"")</f>
        <v>https://elecciones.comunidad.madrid/es/resultados-elecciones-asamblea-madrid-28m-2023</v>
      </c>
      <c r="D1654" s="99" t="s">
        <v>174</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2</v>
      </c>
      <c r="J1654" s="91">
        <f ca="1">COUNTIF($D1653:INDIRECT("$D" &amp;  SUM(ROW()-1,'03.Muestra'!$D$45)-1),J1653)</f>
        <v>18</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Normativa electoral</v>
      </c>
      <c r="C1655" s="85" t="str" cm="1">
        <f t="array" ref="C1655">IFERROR(INDEX('03.Muestra'!$F$8:$F$42,SMALL(IF("Página Web"='03.Muestra'!$D$8:$D$42,ROW('03.Muestra'!$F$8:$F$42)-MIN(ROW('03.Muestra'!$D$8:$D$42))+1,""),ROW()-1652)),"")</f>
        <v>https://elecciones.comunidad.madrid/es/informacion-electoral/normativa-electoral</v>
      </c>
      <c r="D1655" s="99" t="s">
        <v>174</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Calendario electoral</v>
      </c>
      <c r="C1656" s="85" t="str" cm="1">
        <f t="array" ref="C1656">IFERROR(INDEX('03.Muestra'!$F$8:$F$42,SMALL(IF("Página Web"='03.Muestra'!$D$8:$D$42,ROW('03.Muestra'!$F$8:$F$42)-MIN(ROW('03.Muestra'!$D$8:$D$42))+1,""),ROW()-1652)),"")</f>
        <v>https://elecciones.comunidad.madrid/es/informacion-electoral/calendario-electoral</v>
      </c>
      <c r="D1656" s="99" t="s">
        <v>174</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Direcciones y teléfonos</v>
      </c>
      <c r="C1657" s="85" t="str" cm="1">
        <f t="array" ref="C1657">IFERROR(INDEX('03.Muestra'!$F$8:$F$42,SMALL(IF("Página Web"='03.Muestra'!$D$8:$D$42,ROW('03.Muestra'!$F$8:$F$42)-MIN(ROW('03.Muestra'!$D$8:$D$42))+1,""),ROW()-1652)),"")</f>
        <v>https://elecciones.comunidad.madrid/es/juntas-electorales/direcciones-telefonos</v>
      </c>
      <c r="D1657" s="99" t="s">
        <v>174</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Impresos electrónicos</v>
      </c>
      <c r="C1658" s="85" t="str" cm="1">
        <f t="array" ref="C1658">IFERROR(INDEX('03.Muestra'!$F$8:$F$42,SMALL(IF("Página Web"='03.Muestra'!$D$8:$D$42,ROW('03.Muestra'!$F$8:$F$42)-MIN(ROW('03.Muestra'!$D$8:$D$42))+1,""),ROW()-1652)),"")</f>
        <v>https://elecciones.comunidad.madrid/es/formaciones-politicas/impresos-electronicos</v>
      </c>
      <c r="D1658" s="99" t="s">
        <v>174</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Listado de candidaturas</v>
      </c>
      <c r="C1659" s="85" t="str" cm="1">
        <f t="array" ref="C1659">IFERROR(INDEX('03.Muestra'!$F$8:$F$42,SMALL(IF("Página Web"='03.Muestra'!$D$8:$D$42,ROW('03.Muestra'!$F$8:$F$42)-MIN(ROW('03.Muestra'!$D$8:$D$42))+1,""),ROW()-1652)),"")</f>
        <v>https://elecciones.comunidad.madrid/es/formaciones-politicas/listado-candidaturas-proclamadas</v>
      </c>
      <c r="D1659" s="99" t="s">
        <v>174</v>
      </c>
      <c r="E1659" s="79" t="str">
        <f t="shared" si="86"/>
        <v/>
      </c>
      <c r="F1659" s="18"/>
      <c r="G1659" s="18"/>
      <c r="H1659" s="18"/>
      <c r="I1659" s="18"/>
      <c r="J1659" s="18"/>
      <c r="K1659" s="184"/>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Partido Feminista de España</v>
      </c>
      <c r="C1660" s="85" t="str" cm="1">
        <f t="array" ref="C1660">IFERROR(INDEX('03.Muestra'!$F$8:$F$42,SMALL(IF("Página Web"='03.Muestra'!$D$8:$D$42,ROW('03.Muestra'!$F$8:$F$42)-MIN(ROW('03.Muestra'!$D$8:$D$42))+1,""),ROW()-1652)),"")</f>
        <v>https://elecciones.comunidad.madrid/es/formaciones-politicas/listado-candidaturas/partido-feminista-espana</v>
      </c>
      <c r="D1660" s="99" t="s">
        <v>174</v>
      </c>
      <c r="E1660" s="79" t="str">
        <f t="shared" si="86"/>
        <v/>
      </c>
      <c r="F1660" s="18"/>
      <c r="G1660" s="18"/>
      <c r="H1660" s="18"/>
      <c r="I1660" s="18"/>
      <c r="J1660" s="18"/>
      <c r="K1660" s="184"/>
    </row>
    <row r="1661" spans="1:11" ht="12" customHeight="1">
      <c r="A1661" s="39" cm="1">
        <f t="array" ref="A1661">IFERROR(INDEX('03.Muestra'!$B$8:$B$42,SMALL(IF("Página Web"='03.Muestra'!$D$8:$D$42,ROW('03.Muestra'!$B$8:$B$42)-MIN(ROW('03.Muestra'!$D$8:$D$42))+1,""),ROW()-1652)),"")</f>
        <v>9</v>
      </c>
      <c r="B1661" s="85" t="str" cm="1">
        <f t="array" ref="B1661">IFERROR(INDEX('03.Muestra'!$C$8:$C$42,SMALL(IF("Página Web"='03.Muestra'!$D$8:$D$42,ROW('03.Muestra'!$C$8:$C$42)-MIN(ROW('03.Muestra'!$D$8:$D$42))+1,""),ROW()-1652)),"")</f>
        <v>¿Dónde voto?</v>
      </c>
      <c r="C1661" s="85" t="str" cm="1">
        <f t="array" ref="C1661">IFERROR(INDEX('03.Muestra'!$F$8:$F$42,SMALL(IF("Página Web"='03.Muestra'!$D$8:$D$42,ROW('03.Muestra'!$F$8:$F$42)-MIN(ROW('03.Muestra'!$D$8:$D$42))+1,""),ROW()-1652)),"")</f>
        <v>https://elecciones.comunidad.madrid/es/votar/donde-voto</v>
      </c>
      <c r="D1661" s="99" t="s">
        <v>174</v>
      </c>
      <c r="E1661" s="79" t="str">
        <f t="shared" si="86"/>
        <v/>
      </c>
      <c r="F1661" s="18"/>
      <c r="G1661" s="18"/>
      <c r="H1661" s="18"/>
      <c r="I1661" s="18"/>
      <c r="J1661" s="18"/>
      <c r="K1661" s="184"/>
    </row>
    <row r="1662" spans="1:11" ht="12" customHeight="1">
      <c r="A1662" s="39" cm="1">
        <f t="array" ref="A1662">IFERROR(INDEX('03.Muestra'!$B$8:$B$42,SMALL(IF("Página Web"='03.Muestra'!$D$8:$D$42,ROW('03.Muestra'!$B$8:$B$42)-MIN(ROW('03.Muestra'!$D$8:$D$42))+1,""),ROW()-1652)),"")</f>
        <v>10</v>
      </c>
      <c r="B1662" s="85" t="str" cm="1">
        <f t="array" ref="B1662">IFERROR(INDEX('03.Muestra'!$C$8:$C$42,SMALL(IF("Página Web"='03.Muestra'!$D$8:$D$42,ROW('03.Muestra'!$C$8:$C$42)-MIN(ROW('03.Muestra'!$D$8:$D$42))+1,""),ROW()-1652)),"")</f>
        <v>Voto presencial</v>
      </c>
      <c r="C1662" s="85" t="str" cm="1">
        <f t="array" ref="C1662">IFERROR(INDEX('03.Muestra'!$F$8:$F$42,SMALL(IF("Página Web"='03.Muestra'!$D$8:$D$42,ROW('03.Muestra'!$F$8:$F$42)-MIN(ROW('03.Muestra'!$D$8:$D$42))+1,""),ROW()-1652)),"")</f>
        <v>https://elecciones.comunidad.madrid/es/voto-local-electoral/voto-presencial</v>
      </c>
      <c r="D1662" s="99" t="s">
        <v>174</v>
      </c>
      <c r="E1662" s="79" t="str">
        <f t="shared" si="86"/>
        <v/>
      </c>
      <c r="F1662" s="18"/>
      <c r="G1662" s="18"/>
      <c r="H1662" s="18"/>
      <c r="I1662" s="18"/>
      <c r="J1662" s="18"/>
      <c r="K1662" s="184"/>
    </row>
    <row r="1663" spans="1:11" ht="12" customHeight="1">
      <c r="A1663" s="39" cm="1">
        <f t="array" ref="A1663">IFERROR(INDEX('03.Muestra'!$B$8:$B$42,SMALL(IF("Página Web"='03.Muestra'!$D$8:$D$42,ROW('03.Muestra'!$B$8:$B$42)-MIN(ROW('03.Muestra'!$D$8:$D$42))+1,""),ROW()-1652)),"")</f>
        <v>11</v>
      </c>
      <c r="B1663" s="85" t="str" cm="1">
        <f t="array" ref="B1663">IFERROR(INDEX('03.Muestra'!$C$8:$C$42,SMALL(IF("Página Web"='03.Muestra'!$D$8:$D$42,ROW('03.Muestra'!$C$8:$C$42)-MIN(ROW('03.Muestra'!$D$8:$D$42))+1,""),ROW()-1652)),"")</f>
        <v>Ciudadanos temporalmente en el extranjero</v>
      </c>
      <c r="C1663" s="85" t="str" cm="1">
        <f t="array" ref="C1663">IFERROR(INDEX('03.Muestra'!$F$8:$F$42,SMALL(IF("Página Web"='03.Muestra'!$D$8:$D$42,ROW('03.Muestra'!$F$8:$F$42)-MIN(ROW('03.Muestra'!$D$8:$D$42))+1,""),ROW()-1652)),"")</f>
        <v>https://elecciones.comunidad.madrid/es/voto-correo/solicitud-voto-temporalmente-ausentes</v>
      </c>
      <c r="D1663" s="99" t="s">
        <v>174</v>
      </c>
      <c r="E1663" s="79" t="str">
        <f t="shared" si="86"/>
        <v/>
      </c>
      <c r="F1663" s="18"/>
      <c r="G1663" s="18"/>
      <c r="H1663" s="18"/>
      <c r="I1663" s="18"/>
      <c r="J1663" s="18"/>
      <c r="K1663" s="184"/>
    </row>
    <row r="1664" spans="1:11" ht="12" customHeight="1">
      <c r="A1664" s="39" cm="1">
        <f t="array" ref="A1664">IFERROR(INDEX('03.Muestra'!$B$8:$B$42,SMALL(IF("Página Web"='03.Muestra'!$D$8:$D$42,ROW('03.Muestra'!$B$8:$B$42)-MIN(ROW('03.Muestra'!$D$8:$D$42))+1,""),ROW()-1652)),"")</f>
        <v>12</v>
      </c>
      <c r="B1664" s="85" t="str" cm="1">
        <f t="array" ref="B1664">IFERROR(INDEX('03.Muestra'!$C$8:$C$42,SMALL(IF("Página Web"='03.Muestra'!$D$8:$D$42,ROW('03.Muestra'!$C$8:$C$42)-MIN(ROW('03.Muestra'!$D$8:$D$42))+1,""),ROW()-1652)),"")</f>
        <v>Nuevo votante</v>
      </c>
      <c r="C1664" s="85" t="str" cm="1">
        <f t="array" ref="C1664">IFERROR(INDEX('03.Muestra'!$F$8:$F$42,SMALL(IF("Página Web"='03.Muestra'!$D$8:$D$42,ROW('03.Muestra'!$F$8:$F$42)-MIN(ROW('03.Muestra'!$D$8:$D$42))+1,""),ROW()-1652)),"")</f>
        <v>https://elecciones.comunidad.madrid/es/votar/nuevo-votante</v>
      </c>
      <c r="D1664" s="99" t="s">
        <v>174</v>
      </c>
      <c r="E1664" s="79" t="str">
        <f t="shared" si="86"/>
        <v/>
      </c>
      <c r="F1664" s="18"/>
      <c r="G1664" s="18"/>
      <c r="H1664" s="18"/>
      <c r="I1664" s="18"/>
      <c r="J1664" s="18"/>
      <c r="K1664" s="184"/>
    </row>
    <row r="1665" spans="1:11" ht="12" customHeight="1">
      <c r="A1665" s="39" cm="1">
        <f t="array" ref="A1665">IFERROR(INDEX('03.Muestra'!$B$8:$B$42,SMALL(IF("Página Web"='03.Muestra'!$D$8:$D$42,ROW('03.Muestra'!$B$8:$B$42)-MIN(ROW('03.Muestra'!$D$8:$D$42))+1,""),ROW()-1652)),"")</f>
        <v>13</v>
      </c>
      <c r="B1665" s="85" t="str" cm="1">
        <f t="array" ref="B1665">IFERROR(INDEX('03.Muestra'!$C$8:$C$42,SMALL(IF("Página Web"='03.Muestra'!$D$8:$D$42,ROW('03.Muestra'!$C$8:$C$42)-MIN(ROW('03.Muestra'!$D$8:$D$42))+1,""),ROW()-1652)),"")</f>
        <v>Simulación método D'Hondt</v>
      </c>
      <c r="C1665" s="85" t="str" cm="1">
        <f t="array" ref="C1665">IFERROR(INDEX('03.Muestra'!$F$8:$F$42,SMALL(IF("Página Web"='03.Muestra'!$D$8:$D$42,ROW('03.Muestra'!$F$8:$F$42)-MIN(ROW('03.Muestra'!$D$8:$D$42))+1,""),ROW()-1652)),"")</f>
        <v>https://elecciones.comunidad.madrid/es/informacion-util/simulacion-metodo-dhondt</v>
      </c>
      <c r="D1665" s="99" t="s">
        <v>174</v>
      </c>
      <c r="E1665" s="79" t="str">
        <f t="shared" si="86"/>
        <v/>
      </c>
      <c r="F1665" s="18"/>
      <c r="G1665" s="18"/>
      <c r="H1665" s="18"/>
      <c r="I1665" s="18"/>
      <c r="J1665" s="18"/>
      <c r="K1665" s="184"/>
    </row>
    <row r="1666" spans="1:11" ht="12" customHeight="1">
      <c r="A1666" s="39" cm="1">
        <f t="array" ref="A1666">IFERROR(INDEX('03.Muestra'!$B$8:$B$42,SMALL(IF("Página Web"='03.Muestra'!$D$8:$D$42,ROW('03.Muestra'!$B$8:$B$42)-MIN(ROW('03.Muestra'!$D$8:$D$42))+1,""),ROW()-1652)),"")</f>
        <v>14</v>
      </c>
      <c r="B1666" s="85" t="str" cm="1">
        <f t="array" ref="B1666">IFERROR(INDEX('03.Muestra'!$C$8:$C$42,SMALL(IF("Página Web"='03.Muestra'!$D$8:$D$42,ROW('03.Muestra'!$C$8:$C$42)-MIN(ROW('03.Muestra'!$D$8:$D$42))+1,""),ROW()-1652)),"")</f>
        <v>Ley D'Hondt</v>
      </c>
      <c r="C1666" s="85" t="str" cm="1">
        <f t="array" ref="C1666">IFERROR(INDEX('03.Muestra'!$F$8:$F$42,SMALL(IF("Página Web"='03.Muestra'!$D$8:$D$42,ROW('03.Muestra'!$F$8:$F$42)-MIN(ROW('03.Muestra'!$D$8:$D$42))+1,""),ROW()-1652)),"")</f>
        <v>https://elecciones.comunidad.madrid/es/resultados/ley_d_hondt</v>
      </c>
      <c r="D1666" s="99" t="s">
        <v>176</v>
      </c>
      <c r="E1666" s="79" t="str">
        <f t="shared" si="86"/>
        <v/>
      </c>
      <c r="F1666" s="18"/>
      <c r="G1666" s="18"/>
      <c r="H1666" s="18"/>
      <c r="I1666" s="18"/>
      <c r="J1666" s="18"/>
      <c r="K1666" s="184"/>
    </row>
    <row r="1667" spans="1:11" ht="12" customHeight="1">
      <c r="A1667" s="39" cm="1">
        <f t="array" ref="A1667">IFERROR(INDEX('03.Muestra'!$B$8:$B$42,SMALL(IF("Página Web"='03.Muestra'!$D$8:$D$42,ROW('03.Muestra'!$B$8:$B$42)-MIN(ROW('03.Muestra'!$D$8:$D$42))+1,""),ROW()-1652)),"")</f>
        <v>15</v>
      </c>
      <c r="B1667" s="85" t="str" cm="1">
        <f t="array" ref="B1667">IFERROR(INDEX('03.Muestra'!$C$8:$C$42,SMALL(IF("Página Web"='03.Muestra'!$D$8:$D$42,ROW('03.Muestra'!$C$8:$C$42)-MIN(ROW('03.Muestra'!$D$8:$D$42))+1,""),ROW()-1652)),"")</f>
        <v>Voto por correo elector CERA en España</v>
      </c>
      <c r="C1667" s="85" t="str" cm="1">
        <f t="array" ref="C1667">IFERROR(INDEX('03.Muestra'!$F$8:$F$42,SMALL(IF("Página Web"='03.Muestra'!$D$8:$D$42,ROW('03.Muestra'!$F$8:$F$42)-MIN(ROW('03.Muestra'!$D$8:$D$42))+1,""),ROW()-1652)),"")</f>
        <v>https://elecciones.comunidad.madrid/es/preguntas-frecuentes/voto-correo-electores-residentes-extranjero</v>
      </c>
      <c r="D1667" s="99" t="s">
        <v>174</v>
      </c>
      <c r="E1667" s="79" t="str">
        <f t="shared" si="86"/>
        <v/>
      </c>
      <c r="F1667" s="18"/>
      <c r="G1667" s="18"/>
      <c r="H1667" s="18"/>
      <c r="I1667" s="18"/>
      <c r="J1667" s="18"/>
      <c r="K1667" s="184"/>
    </row>
    <row r="1668" spans="1:11" ht="12" customHeight="1">
      <c r="A1668" s="39" cm="1">
        <f t="array" ref="A1668">IFERROR(INDEX('03.Muestra'!$B$8:$B$42,SMALL(IF("Página Web"='03.Muestra'!$D$8:$D$42,ROW('03.Muestra'!$B$8:$B$42)-MIN(ROW('03.Muestra'!$D$8:$D$42))+1,""),ROW()-1652)),"")</f>
        <v>16</v>
      </c>
      <c r="B1668" s="85" t="str" cm="1">
        <f t="array" ref="B1668">IFERROR(INDEX('03.Muestra'!$C$8:$C$42,SMALL(IF("Página Web"='03.Muestra'!$D$8:$D$42,ROW('03.Muestra'!$C$8:$C$42)-MIN(ROW('03.Muestra'!$D$8:$D$42))+1,""),ROW()-1652)),"")</f>
        <v>Contacto</v>
      </c>
      <c r="C1668" s="85" t="str" cm="1">
        <f t="array" ref="C1668">IFERROR(INDEX('03.Muestra'!$F$8:$F$42,SMALL(IF("Página Web"='03.Muestra'!$D$8:$D$42,ROW('03.Muestra'!$F$8:$F$42)-MIN(ROW('03.Muestra'!$D$8:$D$42))+1,""),ROW()-1652)),"")</f>
        <v>https://elecciones.comunidad.madrid/es/buzon-de-sugerencias</v>
      </c>
      <c r="D1668" s="99" t="s">
        <v>176</v>
      </c>
      <c r="E1668" s="79" t="str">
        <f t="shared" si="86"/>
        <v/>
      </c>
      <c r="F1668" s="18"/>
      <c r="G1668" s="18"/>
      <c r="H1668" s="18"/>
      <c r="I1668" s="18"/>
      <c r="J1668" s="18"/>
      <c r="K1668" s="184"/>
    </row>
    <row r="1669" spans="1:11" ht="12" customHeight="1">
      <c r="A1669" s="39" cm="1">
        <f t="array" ref="A1669">IFERROR(INDEX('03.Muestra'!$B$8:$B$42,SMALL(IF("Página Web"='03.Muestra'!$D$8:$D$42,ROW('03.Muestra'!$B$8:$B$42)-MIN(ROW('03.Muestra'!$D$8:$D$42))+1,""),ROW()-1652)),"")</f>
        <v>17</v>
      </c>
      <c r="B1669" s="85" t="str" cm="1">
        <f t="array" ref="B1669">IFERROR(INDEX('03.Muestra'!$C$8:$C$42,SMALL(IF("Página Web"='03.Muestra'!$D$8:$D$42,ROW('03.Muestra'!$C$8:$C$42)-MIN(ROW('03.Muestra'!$D$8:$D$42))+1,""),ROW()-1652)),"")</f>
        <v>Buscador</v>
      </c>
      <c r="C1669" s="85" t="str" cm="1">
        <f t="array" ref="C1669">IFERROR(INDEX('03.Muestra'!$F$8:$F$42,SMALL(IF("Página Web"='03.Muestra'!$D$8:$D$42,ROW('03.Muestra'!$F$8:$F$42)-MIN(ROW('03.Muestra'!$D$8:$D$42))+1,""),ROW()-1652)),"")</f>
        <v>https://elecciones.comunidad.madrid/es/search?search_api_fulltext=partido</v>
      </c>
      <c r="D1669" s="99" t="s">
        <v>174</v>
      </c>
      <c r="E1669" s="79" t="str">
        <f t="shared" si="86"/>
        <v/>
      </c>
      <c r="F1669" s="18"/>
      <c r="G1669" s="18"/>
      <c r="H1669" s="18"/>
      <c r="I1669" s="18"/>
      <c r="J1669" s="18"/>
      <c r="K1669" s="184"/>
    </row>
    <row r="1670" spans="1:11" ht="12" customHeight="1">
      <c r="A1670" s="39" cm="1">
        <f t="array" ref="A1670">IFERROR(INDEX('03.Muestra'!$B$8:$B$42,SMALL(IF("Página Web"='03.Muestra'!$D$8:$D$42,ROW('03.Muestra'!$B$8:$B$42)-MIN(ROW('03.Muestra'!$D$8:$D$42))+1,""),ROW()-1652)),"")</f>
        <v>18</v>
      </c>
      <c r="B1670" s="85" t="str" cm="1">
        <f t="array" ref="B1670">IFERROR(INDEX('03.Muestra'!$C$8:$C$42,SMALL(IF("Página Web"='03.Muestra'!$D$8:$D$42,ROW('03.Muestra'!$C$8:$C$42)-MIN(ROW('03.Muestra'!$D$8:$D$42))+1,""),ROW()-1652)),"")</f>
        <v>Aviso Legal-Privacidad</v>
      </c>
      <c r="C1670" s="85" t="str" cm="1">
        <f t="array" ref="C1670">IFERROR(INDEX('03.Muestra'!$F$8:$F$42,SMALL(IF("Página Web"='03.Muestra'!$D$8:$D$42,ROW('03.Muestra'!$F$8:$F$42)-MIN(ROW('03.Muestra'!$D$8:$D$42))+1,""),ROW()-1652)),"")</f>
        <v>https://elecciones.comunidad.madrid/es/aviso-legal</v>
      </c>
      <c r="D1670" s="99" t="s">
        <v>174</v>
      </c>
      <c r="E1670" s="79" t="str">
        <f t="shared" si="86"/>
        <v/>
      </c>
      <c r="F1670" s="18"/>
      <c r="G1670" s="18"/>
      <c r="H1670" s="18"/>
      <c r="I1670" s="18"/>
      <c r="J1670" s="18"/>
      <c r="K1670" s="184"/>
    </row>
    <row r="1671" spans="1:11" ht="12" customHeight="1">
      <c r="A1671" s="39" cm="1">
        <f t="array" ref="A1671">IFERROR(INDEX('03.Muestra'!$B$8:$B$42,SMALL(IF("Página Web"='03.Muestra'!$D$8:$D$42,ROW('03.Muestra'!$B$8:$B$42)-MIN(ROW('03.Muestra'!$D$8:$D$42))+1,""),ROW()-1652)),"")</f>
        <v>19</v>
      </c>
      <c r="B1671" s="85" t="str" cm="1">
        <f t="array" ref="B1671">IFERROR(INDEX('03.Muestra'!$C$8:$C$42,SMALL(IF("Página Web"='03.Muestra'!$D$8:$D$42,ROW('03.Muestra'!$C$8:$C$42)-MIN(ROW('03.Muestra'!$D$8:$D$42))+1,""),ROW()-1652)),"")</f>
        <v>Mapa Web</v>
      </c>
      <c r="C1671" s="85" t="str" cm="1">
        <f t="array" ref="C1671">IFERROR(INDEX('03.Muestra'!$F$8:$F$42,SMALL(IF("Página Web"='03.Muestra'!$D$8:$D$42,ROW('03.Muestra'!$F$8:$F$42)-MIN(ROW('03.Muestra'!$D$8:$D$42))+1,""),ROW()-1652)),"")</f>
        <v>https://elecciones.comunidad.madrid/es/sitemap</v>
      </c>
      <c r="D1671" s="99" t="s">
        <v>174</v>
      </c>
      <c r="E1671" s="79" t="str">
        <f t="shared" si="86"/>
        <v/>
      </c>
      <c r="F1671" s="18"/>
      <c r="G1671" s="18"/>
      <c r="H1671" s="18"/>
      <c r="I1671" s="18"/>
      <c r="J1671" s="18"/>
      <c r="K1671" s="184"/>
    </row>
    <row r="1672" spans="1:11" ht="12" customHeight="1">
      <c r="A1672" s="39" cm="1">
        <f t="array" ref="A1672">IFERROR(INDEX('03.Muestra'!$B$8:$B$42,SMALL(IF("Página Web"='03.Muestra'!$D$8:$D$42,ROW('03.Muestra'!$B$8:$B$42)-MIN(ROW('03.Muestra'!$D$8:$D$42))+1,""),ROW()-1652)),"")</f>
        <v>20</v>
      </c>
      <c r="B1672" s="85" t="str" cm="1">
        <f t="array" ref="B1672">IFERROR(INDEX('03.Muestra'!$C$8:$C$42,SMALL(IF("Página Web"='03.Muestra'!$D$8:$D$42,ROW('03.Muestra'!$C$8:$C$42)-MIN(ROW('03.Muestra'!$D$8:$D$42))+1,""),ROW()-1652)),"")</f>
        <v>Declaracion Accesibilidad</v>
      </c>
      <c r="C1672" s="85" t="str" cm="1">
        <f t="array" ref="C1672">IFERROR(INDEX('03.Muestra'!$F$8:$F$42,SMALL(IF("Página Web"='03.Muestra'!$D$8:$D$42,ROW('03.Muestra'!$F$8:$F$42)-MIN(ROW('03.Muestra'!$D$8:$D$42))+1,""),ROW()-1652)),"")</f>
        <v>https://elecciones.comunidad.madrid/es/accesibilidad</v>
      </c>
      <c r="D1672" s="99" t="s">
        <v>174</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ref="D1673:D1687" si="87">IF(AND(B1673&lt;&gt;"",C1673&lt;&gt;""),"N/T","")</f>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181</v>
      </c>
      <c r="B1690" s="23" t="s">
        <v>173</v>
      </c>
      <c r="C1690" s="24" t="s">
        <v>268</v>
      </c>
      <c r="D1690" s="25" t="s">
        <v>183</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Inicio</v>
      </c>
      <c r="C1691" s="85" t="str" cm="1">
        <f t="array" ref="C1691">IFERROR(INDEX('03.Muestra'!$F$8:$F$42,SMALL(IF("Página Web"='03.Muestra'!$D$8:$D$42,ROW('03.Muestra'!$F$8:$F$42)-MIN(ROW('03.Muestra'!$D$8:$D$42))+1,""),ROW()-1690)),"")</f>
        <v>https://elecciones.comunidad.madrid/es</v>
      </c>
      <c r="D1691" s="99" t="s">
        <v>184</v>
      </c>
      <c r="E1691" s="79" t="str">
        <f t="shared" ref="E1691:E1725" si="88">IF(D1691&lt;&gt;"",IF(AND(B1691&lt;&gt;"",C1691&lt;&gt;""),"","ERR"),"")</f>
        <v/>
      </c>
      <c r="F1691" s="86" t="s">
        <v>185</v>
      </c>
      <c r="G1691" s="87" t="s">
        <v>186</v>
      </c>
      <c r="H1691" s="88" t="s">
        <v>184</v>
      </c>
      <c r="I1691" s="89" t="s">
        <v>176</v>
      </c>
      <c r="J1691" s="90" t="s">
        <v>174</v>
      </c>
      <c r="K1691" s="179" t="s">
        <v>180</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Resultado Elecciones 28M 2023</v>
      </c>
      <c r="C1692" s="85" t="str" cm="1">
        <f t="array" ref="C1692">IFERROR(INDEX('03.Muestra'!$F$8:$F$42,SMALL(IF("Página Web"='03.Muestra'!$D$8:$D$42,ROW('03.Muestra'!$F$8:$F$42)-MIN(ROW('03.Muestra'!$D$8:$D$42))+1,""),ROW()-1690)),"")</f>
        <v>https://elecciones.comunidad.madrid/es/resultados-elecciones-asamblea-madrid-28m-2023</v>
      </c>
      <c r="D1692" s="99" t="s">
        <v>184</v>
      </c>
      <c r="E1692" s="79" t="str">
        <f t="shared" si="88"/>
        <v/>
      </c>
      <c r="F1692" s="91">
        <f ca="1">COUNTIF($D1691:INDIRECT("$D" &amp;  SUM(ROW()-1,'03.Muestra'!$D$45)-1),F1691)</f>
        <v>0</v>
      </c>
      <c r="G1692" s="91">
        <f ca="1">COUNTIF($D1691:INDIRECT("$D" &amp;  SUM(ROW()-1,'03.Muestra'!$D$45)-1),G1691)</f>
        <v>0</v>
      </c>
      <c r="H1692" s="91">
        <f ca="1">COUNTIF($D1691:INDIRECT("$D" &amp;  SUM(ROW()-1,'03.Muestra'!$D$45)-1),H1691)</f>
        <v>19</v>
      </c>
      <c r="I1692" s="91">
        <f ca="1">COUNTIF($D1691:INDIRECT("$D" &amp;  SUM(ROW()-1,'03.Muestra'!$D$45)-1),I1691)</f>
        <v>0</v>
      </c>
      <c r="J1692" s="91">
        <f ca="1">COUNTIF($D1691:INDIRECT("$D" &amp;  SUM(ROW()-1,'03.Muestra'!$D$45)-1),J1691)</f>
        <v>1</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Normativa electoral</v>
      </c>
      <c r="C1693" s="85" t="str" cm="1">
        <f t="array" ref="C1693">IFERROR(INDEX('03.Muestra'!$F$8:$F$42,SMALL(IF("Página Web"='03.Muestra'!$D$8:$D$42,ROW('03.Muestra'!$F$8:$F$42)-MIN(ROW('03.Muestra'!$D$8:$D$42))+1,""),ROW()-1690)),"")</f>
        <v>https://elecciones.comunidad.madrid/es/informacion-electoral/normativa-electoral</v>
      </c>
      <c r="D1693" s="99" t="s">
        <v>184</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Calendario electoral</v>
      </c>
      <c r="C1694" s="85" t="str" cm="1">
        <f t="array" ref="C1694">IFERROR(INDEX('03.Muestra'!$F$8:$F$42,SMALL(IF("Página Web"='03.Muestra'!$D$8:$D$42,ROW('03.Muestra'!$F$8:$F$42)-MIN(ROW('03.Muestra'!$D$8:$D$42))+1,""),ROW()-1690)),"")</f>
        <v>https://elecciones.comunidad.madrid/es/informacion-electoral/calendario-electoral</v>
      </c>
      <c r="D1694" s="99" t="s">
        <v>184</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Direcciones y teléfonos</v>
      </c>
      <c r="C1695" s="85" t="str" cm="1">
        <f t="array" ref="C1695">IFERROR(INDEX('03.Muestra'!$F$8:$F$42,SMALL(IF("Página Web"='03.Muestra'!$D$8:$D$42,ROW('03.Muestra'!$F$8:$F$42)-MIN(ROW('03.Muestra'!$D$8:$D$42))+1,""),ROW()-1690)),"")</f>
        <v>https://elecciones.comunidad.madrid/es/juntas-electorales/direcciones-telefonos</v>
      </c>
      <c r="D1695" s="99" t="s">
        <v>184</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Impresos electrónicos</v>
      </c>
      <c r="C1696" s="85" t="str" cm="1">
        <f t="array" ref="C1696">IFERROR(INDEX('03.Muestra'!$F$8:$F$42,SMALL(IF("Página Web"='03.Muestra'!$D$8:$D$42,ROW('03.Muestra'!$F$8:$F$42)-MIN(ROW('03.Muestra'!$D$8:$D$42))+1,""),ROW()-1690)),"")</f>
        <v>https://elecciones.comunidad.madrid/es/formaciones-politicas/impresos-electronicos</v>
      </c>
      <c r="D1696" s="99" t="s">
        <v>184</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Listado de candidaturas</v>
      </c>
      <c r="C1697" s="85" t="str" cm="1">
        <f t="array" ref="C1697">IFERROR(INDEX('03.Muestra'!$F$8:$F$42,SMALL(IF("Página Web"='03.Muestra'!$D$8:$D$42,ROW('03.Muestra'!$F$8:$F$42)-MIN(ROW('03.Muestra'!$D$8:$D$42))+1,""),ROW()-1690)),"")</f>
        <v>https://elecciones.comunidad.madrid/es/formaciones-politicas/listado-candidaturas-proclamadas</v>
      </c>
      <c r="D1697" s="99" t="s">
        <v>184</v>
      </c>
      <c r="E1697" s="79" t="str">
        <f t="shared" si="88"/>
        <v/>
      </c>
      <c r="F1697" s="18"/>
      <c r="G1697" s="18"/>
      <c r="H1697" s="18"/>
      <c r="I1697" s="18"/>
      <c r="J1697" s="18"/>
      <c r="K1697" s="184"/>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Partido Feminista de España</v>
      </c>
      <c r="C1698" s="85" t="str" cm="1">
        <f t="array" ref="C1698">IFERROR(INDEX('03.Muestra'!$F$8:$F$42,SMALL(IF("Página Web"='03.Muestra'!$D$8:$D$42,ROW('03.Muestra'!$F$8:$F$42)-MIN(ROW('03.Muestra'!$D$8:$D$42))+1,""),ROW()-1690)),"")</f>
        <v>https://elecciones.comunidad.madrid/es/formaciones-politicas/listado-candidaturas/partido-feminista-espana</v>
      </c>
      <c r="D1698" s="99" t="s">
        <v>184</v>
      </c>
      <c r="E1698" s="79" t="str">
        <f t="shared" si="88"/>
        <v/>
      </c>
      <c r="F1698" s="18"/>
      <c r="G1698" s="18"/>
      <c r="H1698" s="18"/>
      <c r="I1698" s="18"/>
      <c r="J1698" s="18"/>
      <c r="K1698" s="184"/>
    </row>
    <row r="1699" spans="1:11" ht="12" customHeight="1">
      <c r="A1699" s="39" cm="1">
        <f t="array" ref="A1699">IFERROR(INDEX('03.Muestra'!$B$8:$B$42,SMALL(IF("Página Web"='03.Muestra'!$D$8:$D$42,ROW('03.Muestra'!$B$8:$B$42)-MIN(ROW('03.Muestra'!$D$8:$D$42))+1,""),ROW()-1690)),"")</f>
        <v>9</v>
      </c>
      <c r="B1699" s="85" t="str" cm="1">
        <f t="array" ref="B1699">IFERROR(INDEX('03.Muestra'!$C$8:$C$42,SMALL(IF("Página Web"='03.Muestra'!$D$8:$D$42,ROW('03.Muestra'!$C$8:$C$42)-MIN(ROW('03.Muestra'!$D$8:$D$42))+1,""),ROW()-1690)),"")</f>
        <v>¿Dónde voto?</v>
      </c>
      <c r="C1699" s="85" t="str" cm="1">
        <f t="array" ref="C1699">IFERROR(INDEX('03.Muestra'!$F$8:$F$42,SMALL(IF("Página Web"='03.Muestra'!$D$8:$D$42,ROW('03.Muestra'!$F$8:$F$42)-MIN(ROW('03.Muestra'!$D$8:$D$42))+1,""),ROW()-1690)),"")</f>
        <v>https://elecciones.comunidad.madrid/es/votar/donde-voto</v>
      </c>
      <c r="D1699" s="99" t="s">
        <v>184</v>
      </c>
      <c r="E1699" s="79" t="str">
        <f t="shared" si="88"/>
        <v/>
      </c>
      <c r="F1699" s="18"/>
      <c r="G1699" s="18"/>
      <c r="H1699" s="18"/>
      <c r="I1699" s="18"/>
      <c r="J1699" s="18"/>
      <c r="K1699" s="184"/>
    </row>
    <row r="1700" spans="1:11" ht="12" customHeight="1">
      <c r="A1700" s="39" cm="1">
        <f t="array" ref="A1700">IFERROR(INDEX('03.Muestra'!$B$8:$B$42,SMALL(IF("Página Web"='03.Muestra'!$D$8:$D$42,ROW('03.Muestra'!$B$8:$B$42)-MIN(ROW('03.Muestra'!$D$8:$D$42))+1,""),ROW()-1690)),"")</f>
        <v>10</v>
      </c>
      <c r="B1700" s="85" t="str" cm="1">
        <f t="array" ref="B1700">IFERROR(INDEX('03.Muestra'!$C$8:$C$42,SMALL(IF("Página Web"='03.Muestra'!$D$8:$D$42,ROW('03.Muestra'!$C$8:$C$42)-MIN(ROW('03.Muestra'!$D$8:$D$42))+1,""),ROW()-1690)),"")</f>
        <v>Voto presencial</v>
      </c>
      <c r="C1700" s="85" t="str" cm="1">
        <f t="array" ref="C1700">IFERROR(INDEX('03.Muestra'!$F$8:$F$42,SMALL(IF("Página Web"='03.Muestra'!$D$8:$D$42,ROW('03.Muestra'!$F$8:$F$42)-MIN(ROW('03.Muestra'!$D$8:$D$42))+1,""),ROW()-1690)),"")</f>
        <v>https://elecciones.comunidad.madrid/es/voto-local-electoral/voto-presencial</v>
      </c>
      <c r="D1700" s="99" t="s">
        <v>184</v>
      </c>
      <c r="E1700" s="79" t="str">
        <f t="shared" si="88"/>
        <v/>
      </c>
      <c r="F1700" s="18"/>
      <c r="G1700" s="18"/>
      <c r="H1700" s="18"/>
      <c r="I1700" s="18"/>
      <c r="J1700" s="18"/>
      <c r="K1700" s="184"/>
    </row>
    <row r="1701" spans="1:11" ht="12" customHeight="1">
      <c r="A1701" s="39" cm="1">
        <f t="array" ref="A1701">IFERROR(INDEX('03.Muestra'!$B$8:$B$42,SMALL(IF("Página Web"='03.Muestra'!$D$8:$D$42,ROW('03.Muestra'!$B$8:$B$42)-MIN(ROW('03.Muestra'!$D$8:$D$42))+1,""),ROW()-1690)),"")</f>
        <v>11</v>
      </c>
      <c r="B1701" s="85" t="str" cm="1">
        <f t="array" ref="B1701">IFERROR(INDEX('03.Muestra'!$C$8:$C$42,SMALL(IF("Página Web"='03.Muestra'!$D$8:$D$42,ROW('03.Muestra'!$C$8:$C$42)-MIN(ROW('03.Muestra'!$D$8:$D$42))+1,""),ROW()-1690)),"")</f>
        <v>Ciudadanos temporalmente en el extranjero</v>
      </c>
      <c r="C1701" s="85" t="str" cm="1">
        <f t="array" ref="C1701">IFERROR(INDEX('03.Muestra'!$F$8:$F$42,SMALL(IF("Página Web"='03.Muestra'!$D$8:$D$42,ROW('03.Muestra'!$F$8:$F$42)-MIN(ROW('03.Muestra'!$D$8:$D$42))+1,""),ROW()-1690)),"")</f>
        <v>https://elecciones.comunidad.madrid/es/voto-correo/solicitud-voto-temporalmente-ausentes</v>
      </c>
      <c r="D1701" s="99" t="s">
        <v>184</v>
      </c>
      <c r="E1701" s="79" t="str">
        <f t="shared" si="88"/>
        <v/>
      </c>
      <c r="F1701" s="18"/>
      <c r="G1701" s="18"/>
      <c r="H1701" s="18"/>
      <c r="I1701" s="18"/>
      <c r="J1701" s="18"/>
      <c r="K1701" s="184"/>
    </row>
    <row r="1702" spans="1:11" ht="12" customHeight="1">
      <c r="A1702" s="39" cm="1">
        <f t="array" ref="A1702">IFERROR(INDEX('03.Muestra'!$B$8:$B$42,SMALL(IF("Página Web"='03.Muestra'!$D$8:$D$42,ROW('03.Muestra'!$B$8:$B$42)-MIN(ROW('03.Muestra'!$D$8:$D$42))+1,""),ROW()-1690)),"")</f>
        <v>12</v>
      </c>
      <c r="B1702" s="85" t="str" cm="1">
        <f t="array" ref="B1702">IFERROR(INDEX('03.Muestra'!$C$8:$C$42,SMALL(IF("Página Web"='03.Muestra'!$D$8:$D$42,ROW('03.Muestra'!$C$8:$C$42)-MIN(ROW('03.Muestra'!$D$8:$D$42))+1,""),ROW()-1690)),"")</f>
        <v>Nuevo votante</v>
      </c>
      <c r="C1702" s="85" t="str" cm="1">
        <f t="array" ref="C1702">IFERROR(INDEX('03.Muestra'!$F$8:$F$42,SMALL(IF("Página Web"='03.Muestra'!$D$8:$D$42,ROW('03.Muestra'!$F$8:$F$42)-MIN(ROW('03.Muestra'!$D$8:$D$42))+1,""),ROW()-1690)),"")</f>
        <v>https://elecciones.comunidad.madrid/es/votar/nuevo-votante</v>
      </c>
      <c r="D1702" s="99" t="s">
        <v>184</v>
      </c>
      <c r="E1702" s="79" t="str">
        <f t="shared" si="88"/>
        <v/>
      </c>
      <c r="F1702" s="18"/>
      <c r="G1702" s="18"/>
      <c r="H1702" s="18"/>
      <c r="I1702" s="18"/>
      <c r="J1702" s="18"/>
      <c r="K1702" s="184"/>
    </row>
    <row r="1703" spans="1:11" ht="12" customHeight="1">
      <c r="A1703" s="39" cm="1">
        <f t="array" ref="A1703">IFERROR(INDEX('03.Muestra'!$B$8:$B$42,SMALL(IF("Página Web"='03.Muestra'!$D$8:$D$42,ROW('03.Muestra'!$B$8:$B$42)-MIN(ROW('03.Muestra'!$D$8:$D$42))+1,""),ROW()-1690)),"")</f>
        <v>13</v>
      </c>
      <c r="B1703" s="85" t="str" cm="1">
        <f t="array" ref="B1703">IFERROR(INDEX('03.Muestra'!$C$8:$C$42,SMALL(IF("Página Web"='03.Muestra'!$D$8:$D$42,ROW('03.Muestra'!$C$8:$C$42)-MIN(ROW('03.Muestra'!$D$8:$D$42))+1,""),ROW()-1690)),"")</f>
        <v>Simulación método D'Hondt</v>
      </c>
      <c r="C1703" s="85" t="str" cm="1">
        <f t="array" ref="C1703">IFERROR(INDEX('03.Muestra'!$F$8:$F$42,SMALL(IF("Página Web"='03.Muestra'!$D$8:$D$42,ROW('03.Muestra'!$F$8:$F$42)-MIN(ROW('03.Muestra'!$D$8:$D$42))+1,""),ROW()-1690)),"")</f>
        <v>https://elecciones.comunidad.madrid/es/informacion-util/simulacion-metodo-dhondt</v>
      </c>
      <c r="D1703" s="99" t="s">
        <v>184</v>
      </c>
      <c r="E1703" s="79" t="str">
        <f t="shared" si="88"/>
        <v/>
      </c>
      <c r="F1703" s="18"/>
      <c r="G1703" s="18"/>
      <c r="H1703" s="18"/>
      <c r="I1703" s="18"/>
      <c r="J1703" s="18"/>
      <c r="K1703" s="184"/>
    </row>
    <row r="1704" spans="1:11" ht="12" customHeight="1">
      <c r="A1704" s="39" cm="1">
        <f t="array" ref="A1704">IFERROR(INDEX('03.Muestra'!$B$8:$B$42,SMALL(IF("Página Web"='03.Muestra'!$D$8:$D$42,ROW('03.Muestra'!$B$8:$B$42)-MIN(ROW('03.Muestra'!$D$8:$D$42))+1,""),ROW()-1690)),"")</f>
        <v>14</v>
      </c>
      <c r="B1704" s="85" t="str" cm="1">
        <f t="array" ref="B1704">IFERROR(INDEX('03.Muestra'!$C$8:$C$42,SMALL(IF("Página Web"='03.Muestra'!$D$8:$D$42,ROW('03.Muestra'!$C$8:$C$42)-MIN(ROW('03.Muestra'!$D$8:$D$42))+1,""),ROW()-1690)),"")</f>
        <v>Ley D'Hondt</v>
      </c>
      <c r="C1704" s="85" t="str" cm="1">
        <f t="array" ref="C1704">IFERROR(INDEX('03.Muestra'!$F$8:$F$42,SMALL(IF("Página Web"='03.Muestra'!$D$8:$D$42,ROW('03.Muestra'!$F$8:$F$42)-MIN(ROW('03.Muestra'!$D$8:$D$42))+1,""),ROW()-1690)),"")</f>
        <v>https://elecciones.comunidad.madrid/es/resultados/ley_d_hondt</v>
      </c>
      <c r="D1704" s="99" t="s">
        <v>184</v>
      </c>
      <c r="E1704" s="79" t="str">
        <f t="shared" si="88"/>
        <v/>
      </c>
      <c r="F1704" s="18"/>
      <c r="G1704" s="18"/>
      <c r="H1704" s="18"/>
      <c r="I1704" s="18"/>
      <c r="J1704" s="18"/>
      <c r="K1704" s="184"/>
    </row>
    <row r="1705" spans="1:11" ht="12" customHeight="1">
      <c r="A1705" s="39" cm="1">
        <f t="array" ref="A1705">IFERROR(INDEX('03.Muestra'!$B$8:$B$42,SMALL(IF("Página Web"='03.Muestra'!$D$8:$D$42,ROW('03.Muestra'!$B$8:$B$42)-MIN(ROW('03.Muestra'!$D$8:$D$42))+1,""),ROW()-1690)),"")</f>
        <v>15</v>
      </c>
      <c r="B1705" s="85" t="str" cm="1">
        <f t="array" ref="B1705">IFERROR(INDEX('03.Muestra'!$C$8:$C$42,SMALL(IF("Página Web"='03.Muestra'!$D$8:$D$42,ROW('03.Muestra'!$C$8:$C$42)-MIN(ROW('03.Muestra'!$D$8:$D$42))+1,""),ROW()-1690)),"")</f>
        <v>Voto por correo elector CERA en España</v>
      </c>
      <c r="C1705" s="85" t="str" cm="1">
        <f t="array" ref="C1705">IFERROR(INDEX('03.Muestra'!$F$8:$F$42,SMALL(IF("Página Web"='03.Muestra'!$D$8:$D$42,ROW('03.Muestra'!$F$8:$F$42)-MIN(ROW('03.Muestra'!$D$8:$D$42))+1,""),ROW()-1690)),"")</f>
        <v>https://elecciones.comunidad.madrid/es/preguntas-frecuentes/voto-correo-electores-residentes-extranjero</v>
      </c>
      <c r="D1705" s="99" t="s">
        <v>184</v>
      </c>
      <c r="E1705" s="79" t="str">
        <f t="shared" si="88"/>
        <v/>
      </c>
      <c r="F1705" s="18"/>
      <c r="G1705" s="18"/>
      <c r="H1705" s="18"/>
      <c r="I1705" s="18"/>
      <c r="J1705" s="18"/>
      <c r="K1705" s="184"/>
    </row>
    <row r="1706" spans="1:11" ht="12" customHeight="1">
      <c r="A1706" s="39" cm="1">
        <f t="array" ref="A1706">IFERROR(INDEX('03.Muestra'!$B$8:$B$42,SMALL(IF("Página Web"='03.Muestra'!$D$8:$D$42,ROW('03.Muestra'!$B$8:$B$42)-MIN(ROW('03.Muestra'!$D$8:$D$42))+1,""),ROW()-1690)),"")</f>
        <v>16</v>
      </c>
      <c r="B1706" s="85" t="str" cm="1">
        <f t="array" ref="B1706">IFERROR(INDEX('03.Muestra'!$C$8:$C$42,SMALL(IF("Página Web"='03.Muestra'!$D$8:$D$42,ROW('03.Muestra'!$C$8:$C$42)-MIN(ROW('03.Muestra'!$D$8:$D$42))+1,""),ROW()-1690)),"")</f>
        <v>Contacto</v>
      </c>
      <c r="C1706" s="85" t="str" cm="1">
        <f t="array" ref="C1706">IFERROR(INDEX('03.Muestra'!$F$8:$F$42,SMALL(IF("Página Web"='03.Muestra'!$D$8:$D$42,ROW('03.Muestra'!$F$8:$F$42)-MIN(ROW('03.Muestra'!$D$8:$D$42))+1,""),ROW()-1690)),"")</f>
        <v>https://elecciones.comunidad.madrid/es/buzon-de-sugerencias</v>
      </c>
      <c r="D1706" s="99" t="s">
        <v>174</v>
      </c>
      <c r="E1706" s="79" t="str">
        <f t="shared" si="88"/>
        <v/>
      </c>
      <c r="F1706" s="18"/>
      <c r="G1706" s="18"/>
      <c r="H1706" s="18"/>
      <c r="I1706" s="18"/>
      <c r="J1706" s="18"/>
      <c r="K1706" s="184"/>
    </row>
    <row r="1707" spans="1:11" ht="12" customHeight="1">
      <c r="A1707" s="39" cm="1">
        <f t="array" ref="A1707">IFERROR(INDEX('03.Muestra'!$B$8:$B$42,SMALL(IF("Página Web"='03.Muestra'!$D$8:$D$42,ROW('03.Muestra'!$B$8:$B$42)-MIN(ROW('03.Muestra'!$D$8:$D$42))+1,""),ROW()-1690)),"")</f>
        <v>17</v>
      </c>
      <c r="B1707" s="85" t="str" cm="1">
        <f t="array" ref="B1707">IFERROR(INDEX('03.Muestra'!$C$8:$C$42,SMALL(IF("Página Web"='03.Muestra'!$D$8:$D$42,ROW('03.Muestra'!$C$8:$C$42)-MIN(ROW('03.Muestra'!$D$8:$D$42))+1,""),ROW()-1690)),"")</f>
        <v>Buscador</v>
      </c>
      <c r="C1707" s="85" t="str" cm="1">
        <f t="array" ref="C1707">IFERROR(INDEX('03.Muestra'!$F$8:$F$42,SMALL(IF("Página Web"='03.Muestra'!$D$8:$D$42,ROW('03.Muestra'!$F$8:$F$42)-MIN(ROW('03.Muestra'!$D$8:$D$42))+1,""),ROW()-1690)),"")</f>
        <v>https://elecciones.comunidad.madrid/es/search?search_api_fulltext=partido</v>
      </c>
      <c r="D1707" s="99" t="s">
        <v>184</v>
      </c>
      <c r="E1707" s="79" t="str">
        <f t="shared" si="88"/>
        <v/>
      </c>
      <c r="F1707" s="18"/>
      <c r="G1707" s="18"/>
      <c r="H1707" s="18"/>
      <c r="I1707" s="18"/>
      <c r="J1707" s="18"/>
      <c r="K1707" s="184"/>
    </row>
    <row r="1708" spans="1:11" ht="12" customHeight="1">
      <c r="A1708" s="39" cm="1">
        <f t="array" ref="A1708">IFERROR(INDEX('03.Muestra'!$B$8:$B$42,SMALL(IF("Página Web"='03.Muestra'!$D$8:$D$42,ROW('03.Muestra'!$B$8:$B$42)-MIN(ROW('03.Muestra'!$D$8:$D$42))+1,""),ROW()-1690)),"")</f>
        <v>18</v>
      </c>
      <c r="B1708" s="85" t="str" cm="1">
        <f t="array" ref="B1708">IFERROR(INDEX('03.Muestra'!$C$8:$C$42,SMALL(IF("Página Web"='03.Muestra'!$D$8:$D$42,ROW('03.Muestra'!$C$8:$C$42)-MIN(ROW('03.Muestra'!$D$8:$D$42))+1,""),ROW()-1690)),"")</f>
        <v>Aviso Legal-Privacidad</v>
      </c>
      <c r="C1708" s="85" t="str" cm="1">
        <f t="array" ref="C1708">IFERROR(INDEX('03.Muestra'!$F$8:$F$42,SMALL(IF("Página Web"='03.Muestra'!$D$8:$D$42,ROW('03.Muestra'!$F$8:$F$42)-MIN(ROW('03.Muestra'!$D$8:$D$42))+1,""),ROW()-1690)),"")</f>
        <v>https://elecciones.comunidad.madrid/es/aviso-legal</v>
      </c>
      <c r="D1708" s="99" t="s">
        <v>184</v>
      </c>
      <c r="E1708" s="79" t="str">
        <f t="shared" si="88"/>
        <v/>
      </c>
      <c r="F1708" s="18"/>
      <c r="G1708" s="18"/>
      <c r="H1708" s="18"/>
      <c r="I1708" s="18"/>
      <c r="J1708" s="18"/>
      <c r="K1708" s="184"/>
    </row>
    <row r="1709" spans="1:11" ht="12" customHeight="1">
      <c r="A1709" s="39" cm="1">
        <f t="array" ref="A1709">IFERROR(INDEX('03.Muestra'!$B$8:$B$42,SMALL(IF("Página Web"='03.Muestra'!$D$8:$D$42,ROW('03.Muestra'!$B$8:$B$42)-MIN(ROW('03.Muestra'!$D$8:$D$42))+1,""),ROW()-1690)),"")</f>
        <v>19</v>
      </c>
      <c r="B1709" s="85" t="str" cm="1">
        <f t="array" ref="B1709">IFERROR(INDEX('03.Muestra'!$C$8:$C$42,SMALL(IF("Página Web"='03.Muestra'!$D$8:$D$42,ROW('03.Muestra'!$C$8:$C$42)-MIN(ROW('03.Muestra'!$D$8:$D$42))+1,""),ROW()-1690)),"")</f>
        <v>Mapa Web</v>
      </c>
      <c r="C1709" s="85" t="str" cm="1">
        <f t="array" ref="C1709">IFERROR(INDEX('03.Muestra'!$F$8:$F$42,SMALL(IF("Página Web"='03.Muestra'!$D$8:$D$42,ROW('03.Muestra'!$F$8:$F$42)-MIN(ROW('03.Muestra'!$D$8:$D$42))+1,""),ROW()-1690)),"")</f>
        <v>https://elecciones.comunidad.madrid/es/sitemap</v>
      </c>
      <c r="D1709" s="99" t="s">
        <v>184</v>
      </c>
      <c r="E1709" s="79" t="str">
        <f t="shared" si="88"/>
        <v/>
      </c>
      <c r="F1709" s="18"/>
      <c r="G1709" s="18"/>
      <c r="H1709" s="18"/>
      <c r="I1709" s="18"/>
      <c r="J1709" s="18"/>
      <c r="K1709" s="184"/>
    </row>
    <row r="1710" spans="1:11" ht="12" customHeight="1">
      <c r="A1710" s="39" cm="1">
        <f t="array" ref="A1710">IFERROR(INDEX('03.Muestra'!$B$8:$B$42,SMALL(IF("Página Web"='03.Muestra'!$D$8:$D$42,ROW('03.Muestra'!$B$8:$B$42)-MIN(ROW('03.Muestra'!$D$8:$D$42))+1,""),ROW()-1690)),"")</f>
        <v>20</v>
      </c>
      <c r="B1710" s="85" t="str" cm="1">
        <f t="array" ref="B1710">IFERROR(INDEX('03.Muestra'!$C$8:$C$42,SMALL(IF("Página Web"='03.Muestra'!$D$8:$D$42,ROW('03.Muestra'!$C$8:$C$42)-MIN(ROW('03.Muestra'!$D$8:$D$42))+1,""),ROW()-1690)),"")</f>
        <v>Declaracion Accesibilidad</v>
      </c>
      <c r="C1710" s="85" t="str" cm="1">
        <f t="array" ref="C1710">IFERROR(INDEX('03.Muestra'!$F$8:$F$42,SMALL(IF("Página Web"='03.Muestra'!$D$8:$D$42,ROW('03.Muestra'!$F$8:$F$42)-MIN(ROW('03.Muestra'!$D$8:$D$42))+1,""),ROW()-1690)),"")</f>
        <v>https://elecciones.comunidad.madrid/es/accesibilidad</v>
      </c>
      <c r="D1710" s="99" t="s">
        <v>184</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ref="D1711:D1725" si="89">IF(AND(B1711&lt;&gt;"",C1711&lt;&gt;""),"N/T","")</f>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181</v>
      </c>
      <c r="B1728" s="23" t="s">
        <v>173</v>
      </c>
      <c r="C1728" s="24" t="s">
        <v>269</v>
      </c>
      <c r="D1728" s="25" t="s">
        <v>183</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Inicio</v>
      </c>
      <c r="C1729" s="85" t="str" cm="1">
        <f t="array" ref="C1729">IFERROR(INDEX('03.Muestra'!$F$8:$F$42,SMALL(IF("Página Web"='03.Muestra'!$D$8:$D$42,ROW('03.Muestra'!$F$8:$F$42)-MIN(ROW('03.Muestra'!$D$8:$D$42))+1,""),ROW()-1728)),"")</f>
        <v>https://elecciones.comunidad.madrid/es</v>
      </c>
      <c r="D1729" s="99" t="s">
        <v>184</v>
      </c>
      <c r="E1729" s="79" t="str">
        <f t="shared" ref="E1729:E1763" si="90">IF(D1729&lt;&gt;"",IF(AND(B1729&lt;&gt;"",C1729&lt;&gt;""),"","ERR"),"")</f>
        <v/>
      </c>
      <c r="F1729" s="86" t="s">
        <v>185</v>
      </c>
      <c r="G1729" s="87" t="s">
        <v>186</v>
      </c>
      <c r="H1729" s="88" t="s">
        <v>184</v>
      </c>
      <c r="I1729" s="89" t="s">
        <v>176</v>
      </c>
      <c r="J1729" s="90" t="s">
        <v>174</v>
      </c>
      <c r="K1729" s="179" t="s">
        <v>180</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Resultado Elecciones 28M 2023</v>
      </c>
      <c r="C1730" s="85" t="str" cm="1">
        <f t="array" ref="C1730">IFERROR(INDEX('03.Muestra'!$F$8:$F$42,SMALL(IF("Página Web"='03.Muestra'!$D$8:$D$42,ROW('03.Muestra'!$F$8:$F$42)-MIN(ROW('03.Muestra'!$D$8:$D$42))+1,""),ROW()-1728)),"")</f>
        <v>https://elecciones.comunidad.madrid/es/resultados-elecciones-asamblea-madrid-28m-2023</v>
      </c>
      <c r="D1730" s="99" t="s">
        <v>184</v>
      </c>
      <c r="E1730" s="79" t="str">
        <f t="shared" si="90"/>
        <v/>
      </c>
      <c r="F1730" s="91">
        <f ca="1">COUNTIF($D1729:INDIRECT("$D" &amp;  SUM(ROW()-1,'03.Muestra'!$D$45)-1),F1729)</f>
        <v>0</v>
      </c>
      <c r="G1730" s="91">
        <f ca="1">COUNTIF($D1729:INDIRECT("$D" &amp;  SUM(ROW()-1,'03.Muestra'!$D$45)-1),G1729)</f>
        <v>0</v>
      </c>
      <c r="H1730" s="91">
        <f ca="1">COUNTIF($D1729:INDIRECT("$D" &amp;  SUM(ROW()-1,'03.Muestra'!$D$45)-1),H1729)</f>
        <v>20</v>
      </c>
      <c r="I1730" s="91">
        <f ca="1">COUNTIF($D1729:INDIRECT("$D" &amp;  SUM(ROW()-1,'03.Muestra'!$D$45)-1),I1729)</f>
        <v>0</v>
      </c>
      <c r="J1730" s="91">
        <f ca="1">COUNTIF($D1729:INDIRECT("$D" &amp;  SUM(ROW()-1,'03.Muestra'!$D$45)-1),J1729)</f>
        <v>0</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Normativa electoral</v>
      </c>
      <c r="C1731" s="85" t="str" cm="1">
        <f t="array" ref="C1731">IFERROR(INDEX('03.Muestra'!$F$8:$F$42,SMALL(IF("Página Web"='03.Muestra'!$D$8:$D$42,ROW('03.Muestra'!$F$8:$F$42)-MIN(ROW('03.Muestra'!$D$8:$D$42))+1,""),ROW()-1728)),"")</f>
        <v>https://elecciones.comunidad.madrid/es/informacion-electoral/normativa-electoral</v>
      </c>
      <c r="D1731" s="99" t="s">
        <v>184</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Calendario electoral</v>
      </c>
      <c r="C1732" s="85" t="str" cm="1">
        <f t="array" ref="C1732">IFERROR(INDEX('03.Muestra'!$F$8:$F$42,SMALL(IF("Página Web"='03.Muestra'!$D$8:$D$42,ROW('03.Muestra'!$F$8:$F$42)-MIN(ROW('03.Muestra'!$D$8:$D$42))+1,""),ROW()-1728)),"")</f>
        <v>https://elecciones.comunidad.madrid/es/informacion-electoral/calendario-electoral</v>
      </c>
      <c r="D1732" s="99" t="s">
        <v>184</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Direcciones y teléfonos</v>
      </c>
      <c r="C1733" s="85" t="str" cm="1">
        <f t="array" ref="C1733">IFERROR(INDEX('03.Muestra'!$F$8:$F$42,SMALL(IF("Página Web"='03.Muestra'!$D$8:$D$42,ROW('03.Muestra'!$F$8:$F$42)-MIN(ROW('03.Muestra'!$D$8:$D$42))+1,""),ROW()-1728)),"")</f>
        <v>https://elecciones.comunidad.madrid/es/juntas-electorales/direcciones-telefonos</v>
      </c>
      <c r="D1733" s="99" t="s">
        <v>184</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Impresos electrónicos</v>
      </c>
      <c r="C1734" s="85" t="str" cm="1">
        <f t="array" ref="C1734">IFERROR(INDEX('03.Muestra'!$F$8:$F$42,SMALL(IF("Página Web"='03.Muestra'!$D$8:$D$42,ROW('03.Muestra'!$F$8:$F$42)-MIN(ROW('03.Muestra'!$D$8:$D$42))+1,""),ROW()-1728)),"")</f>
        <v>https://elecciones.comunidad.madrid/es/formaciones-politicas/impresos-electronicos</v>
      </c>
      <c r="D1734" s="99" t="s">
        <v>184</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Listado de candidaturas</v>
      </c>
      <c r="C1735" s="85" t="str" cm="1">
        <f t="array" ref="C1735">IFERROR(INDEX('03.Muestra'!$F$8:$F$42,SMALL(IF("Página Web"='03.Muestra'!$D$8:$D$42,ROW('03.Muestra'!$F$8:$F$42)-MIN(ROW('03.Muestra'!$D$8:$D$42))+1,""),ROW()-1728)),"")</f>
        <v>https://elecciones.comunidad.madrid/es/formaciones-politicas/listado-candidaturas-proclamadas</v>
      </c>
      <c r="D1735" s="99" t="s">
        <v>184</v>
      </c>
      <c r="E1735" s="79" t="str">
        <f t="shared" si="90"/>
        <v/>
      </c>
      <c r="F1735" s="18"/>
      <c r="G1735" s="18"/>
      <c r="H1735" s="18"/>
      <c r="I1735" s="18"/>
      <c r="J1735" s="18"/>
      <c r="K1735" s="184"/>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Partido Feminista de España</v>
      </c>
      <c r="C1736" s="85" t="str" cm="1">
        <f t="array" ref="C1736">IFERROR(INDEX('03.Muestra'!$F$8:$F$42,SMALL(IF("Página Web"='03.Muestra'!$D$8:$D$42,ROW('03.Muestra'!$F$8:$F$42)-MIN(ROW('03.Muestra'!$D$8:$D$42))+1,""),ROW()-1728)),"")</f>
        <v>https://elecciones.comunidad.madrid/es/formaciones-politicas/listado-candidaturas/partido-feminista-espana</v>
      </c>
      <c r="D1736" s="99" t="s">
        <v>184</v>
      </c>
      <c r="E1736" s="79" t="str">
        <f t="shared" si="90"/>
        <v/>
      </c>
      <c r="F1736" s="18"/>
      <c r="G1736" s="18"/>
      <c r="H1736" s="18"/>
      <c r="I1736" s="18"/>
      <c r="J1736" s="18"/>
      <c r="K1736" s="184"/>
    </row>
    <row r="1737" spans="1:11" ht="12" customHeight="1">
      <c r="A1737" s="39" cm="1">
        <f t="array" ref="A1737">IFERROR(INDEX('03.Muestra'!$B$8:$B$42,SMALL(IF("Página Web"='03.Muestra'!$D$8:$D$42,ROW('03.Muestra'!$B$8:$B$42)-MIN(ROW('03.Muestra'!$D$8:$D$42))+1,""),ROW()-1728)),"")</f>
        <v>9</v>
      </c>
      <c r="B1737" s="85" t="str" cm="1">
        <f t="array" ref="B1737">IFERROR(INDEX('03.Muestra'!$C$8:$C$42,SMALL(IF("Página Web"='03.Muestra'!$D$8:$D$42,ROW('03.Muestra'!$C$8:$C$42)-MIN(ROW('03.Muestra'!$D$8:$D$42))+1,""),ROW()-1728)),"")</f>
        <v>¿Dónde voto?</v>
      </c>
      <c r="C1737" s="85" t="str" cm="1">
        <f t="array" ref="C1737">IFERROR(INDEX('03.Muestra'!$F$8:$F$42,SMALL(IF("Página Web"='03.Muestra'!$D$8:$D$42,ROW('03.Muestra'!$F$8:$F$42)-MIN(ROW('03.Muestra'!$D$8:$D$42))+1,""),ROW()-1728)),"")</f>
        <v>https://elecciones.comunidad.madrid/es/votar/donde-voto</v>
      </c>
      <c r="D1737" s="99" t="s">
        <v>184</v>
      </c>
      <c r="E1737" s="79" t="str">
        <f t="shared" si="90"/>
        <v/>
      </c>
      <c r="F1737" s="18"/>
      <c r="G1737" s="18"/>
      <c r="H1737" s="18"/>
      <c r="I1737" s="18"/>
      <c r="J1737" s="18"/>
      <c r="K1737" s="184"/>
    </row>
    <row r="1738" spans="1:11" ht="12" customHeight="1">
      <c r="A1738" s="39" cm="1">
        <f t="array" ref="A1738">IFERROR(INDEX('03.Muestra'!$B$8:$B$42,SMALL(IF("Página Web"='03.Muestra'!$D$8:$D$42,ROW('03.Muestra'!$B$8:$B$42)-MIN(ROW('03.Muestra'!$D$8:$D$42))+1,""),ROW()-1728)),"")</f>
        <v>10</v>
      </c>
      <c r="B1738" s="85" t="str" cm="1">
        <f t="array" ref="B1738">IFERROR(INDEX('03.Muestra'!$C$8:$C$42,SMALL(IF("Página Web"='03.Muestra'!$D$8:$D$42,ROW('03.Muestra'!$C$8:$C$42)-MIN(ROW('03.Muestra'!$D$8:$D$42))+1,""),ROW()-1728)),"")</f>
        <v>Voto presencial</v>
      </c>
      <c r="C1738" s="85" t="str" cm="1">
        <f t="array" ref="C1738">IFERROR(INDEX('03.Muestra'!$F$8:$F$42,SMALL(IF("Página Web"='03.Muestra'!$D$8:$D$42,ROW('03.Muestra'!$F$8:$F$42)-MIN(ROW('03.Muestra'!$D$8:$D$42))+1,""),ROW()-1728)),"")</f>
        <v>https://elecciones.comunidad.madrid/es/voto-local-electoral/voto-presencial</v>
      </c>
      <c r="D1738" s="99" t="s">
        <v>184</v>
      </c>
      <c r="E1738" s="79" t="str">
        <f t="shared" si="90"/>
        <v/>
      </c>
      <c r="F1738" s="18"/>
      <c r="G1738" s="18"/>
      <c r="H1738" s="18"/>
      <c r="I1738" s="18"/>
      <c r="J1738" s="18"/>
      <c r="K1738" s="184"/>
    </row>
    <row r="1739" spans="1:11" ht="12" customHeight="1">
      <c r="A1739" s="39" cm="1">
        <f t="array" ref="A1739">IFERROR(INDEX('03.Muestra'!$B$8:$B$42,SMALL(IF("Página Web"='03.Muestra'!$D$8:$D$42,ROW('03.Muestra'!$B$8:$B$42)-MIN(ROW('03.Muestra'!$D$8:$D$42))+1,""),ROW()-1728)),"")</f>
        <v>11</v>
      </c>
      <c r="B1739" s="85" t="str" cm="1">
        <f t="array" ref="B1739">IFERROR(INDEX('03.Muestra'!$C$8:$C$42,SMALL(IF("Página Web"='03.Muestra'!$D$8:$D$42,ROW('03.Muestra'!$C$8:$C$42)-MIN(ROW('03.Muestra'!$D$8:$D$42))+1,""),ROW()-1728)),"")</f>
        <v>Ciudadanos temporalmente en el extranjero</v>
      </c>
      <c r="C1739" s="85" t="str" cm="1">
        <f t="array" ref="C1739">IFERROR(INDEX('03.Muestra'!$F$8:$F$42,SMALL(IF("Página Web"='03.Muestra'!$D$8:$D$42,ROW('03.Muestra'!$F$8:$F$42)-MIN(ROW('03.Muestra'!$D$8:$D$42))+1,""),ROW()-1728)),"")</f>
        <v>https://elecciones.comunidad.madrid/es/voto-correo/solicitud-voto-temporalmente-ausentes</v>
      </c>
      <c r="D1739" s="99" t="s">
        <v>184</v>
      </c>
      <c r="E1739" s="79" t="str">
        <f t="shared" si="90"/>
        <v/>
      </c>
      <c r="F1739" s="18"/>
      <c r="G1739" s="18"/>
      <c r="H1739" s="18"/>
      <c r="I1739" s="18"/>
      <c r="J1739" s="18"/>
      <c r="K1739" s="184"/>
    </row>
    <row r="1740" spans="1:11" ht="12" customHeight="1">
      <c r="A1740" s="39" cm="1">
        <f t="array" ref="A1740">IFERROR(INDEX('03.Muestra'!$B$8:$B$42,SMALL(IF("Página Web"='03.Muestra'!$D$8:$D$42,ROW('03.Muestra'!$B$8:$B$42)-MIN(ROW('03.Muestra'!$D$8:$D$42))+1,""),ROW()-1728)),"")</f>
        <v>12</v>
      </c>
      <c r="B1740" s="85" t="str" cm="1">
        <f t="array" ref="B1740">IFERROR(INDEX('03.Muestra'!$C$8:$C$42,SMALL(IF("Página Web"='03.Muestra'!$D$8:$D$42,ROW('03.Muestra'!$C$8:$C$42)-MIN(ROW('03.Muestra'!$D$8:$D$42))+1,""),ROW()-1728)),"")</f>
        <v>Nuevo votante</v>
      </c>
      <c r="C1740" s="85" t="str" cm="1">
        <f t="array" ref="C1740">IFERROR(INDEX('03.Muestra'!$F$8:$F$42,SMALL(IF("Página Web"='03.Muestra'!$D$8:$D$42,ROW('03.Muestra'!$F$8:$F$42)-MIN(ROW('03.Muestra'!$D$8:$D$42))+1,""),ROW()-1728)),"")</f>
        <v>https://elecciones.comunidad.madrid/es/votar/nuevo-votante</v>
      </c>
      <c r="D1740" s="99" t="s">
        <v>184</v>
      </c>
      <c r="E1740" s="79" t="str">
        <f t="shared" si="90"/>
        <v/>
      </c>
      <c r="F1740" s="18"/>
      <c r="G1740" s="18"/>
      <c r="H1740" s="18"/>
      <c r="I1740" s="18"/>
      <c r="J1740" s="18"/>
      <c r="K1740" s="184"/>
    </row>
    <row r="1741" spans="1:11" ht="12" customHeight="1">
      <c r="A1741" s="39" cm="1">
        <f t="array" ref="A1741">IFERROR(INDEX('03.Muestra'!$B$8:$B$42,SMALL(IF("Página Web"='03.Muestra'!$D$8:$D$42,ROW('03.Muestra'!$B$8:$B$42)-MIN(ROW('03.Muestra'!$D$8:$D$42))+1,""),ROW()-1728)),"")</f>
        <v>13</v>
      </c>
      <c r="B1741" s="85" t="str" cm="1">
        <f t="array" ref="B1741">IFERROR(INDEX('03.Muestra'!$C$8:$C$42,SMALL(IF("Página Web"='03.Muestra'!$D$8:$D$42,ROW('03.Muestra'!$C$8:$C$42)-MIN(ROW('03.Muestra'!$D$8:$D$42))+1,""),ROW()-1728)),"")</f>
        <v>Simulación método D'Hondt</v>
      </c>
      <c r="C1741" s="85" t="str" cm="1">
        <f t="array" ref="C1741">IFERROR(INDEX('03.Muestra'!$F$8:$F$42,SMALL(IF("Página Web"='03.Muestra'!$D$8:$D$42,ROW('03.Muestra'!$F$8:$F$42)-MIN(ROW('03.Muestra'!$D$8:$D$42))+1,""),ROW()-1728)),"")</f>
        <v>https://elecciones.comunidad.madrid/es/informacion-util/simulacion-metodo-dhondt</v>
      </c>
      <c r="D1741" s="99" t="s">
        <v>184</v>
      </c>
      <c r="E1741" s="79" t="str">
        <f t="shared" si="90"/>
        <v/>
      </c>
      <c r="F1741" s="18"/>
      <c r="G1741" s="18"/>
      <c r="H1741" s="18"/>
      <c r="I1741" s="18"/>
      <c r="J1741" s="18"/>
      <c r="K1741" s="184"/>
    </row>
    <row r="1742" spans="1:11" ht="12" customHeight="1">
      <c r="A1742" s="39" cm="1">
        <f t="array" ref="A1742">IFERROR(INDEX('03.Muestra'!$B$8:$B$42,SMALL(IF("Página Web"='03.Muestra'!$D$8:$D$42,ROW('03.Muestra'!$B$8:$B$42)-MIN(ROW('03.Muestra'!$D$8:$D$42))+1,""),ROW()-1728)),"")</f>
        <v>14</v>
      </c>
      <c r="B1742" s="85" t="str" cm="1">
        <f t="array" ref="B1742">IFERROR(INDEX('03.Muestra'!$C$8:$C$42,SMALL(IF("Página Web"='03.Muestra'!$D$8:$D$42,ROW('03.Muestra'!$C$8:$C$42)-MIN(ROW('03.Muestra'!$D$8:$D$42))+1,""),ROW()-1728)),"")</f>
        <v>Ley D'Hondt</v>
      </c>
      <c r="C1742" s="85" t="str" cm="1">
        <f t="array" ref="C1742">IFERROR(INDEX('03.Muestra'!$F$8:$F$42,SMALL(IF("Página Web"='03.Muestra'!$D$8:$D$42,ROW('03.Muestra'!$F$8:$F$42)-MIN(ROW('03.Muestra'!$D$8:$D$42))+1,""),ROW()-1728)),"")</f>
        <v>https://elecciones.comunidad.madrid/es/resultados/ley_d_hondt</v>
      </c>
      <c r="D1742" s="99" t="s">
        <v>184</v>
      </c>
      <c r="E1742" s="79" t="str">
        <f t="shared" si="90"/>
        <v/>
      </c>
      <c r="F1742" s="18"/>
      <c r="G1742" s="18"/>
      <c r="H1742" s="18"/>
      <c r="I1742" s="18"/>
      <c r="J1742" s="18"/>
      <c r="K1742" s="184"/>
    </row>
    <row r="1743" spans="1:11" ht="12" customHeight="1">
      <c r="A1743" s="39" cm="1">
        <f t="array" ref="A1743">IFERROR(INDEX('03.Muestra'!$B$8:$B$42,SMALL(IF("Página Web"='03.Muestra'!$D$8:$D$42,ROW('03.Muestra'!$B$8:$B$42)-MIN(ROW('03.Muestra'!$D$8:$D$42))+1,""),ROW()-1728)),"")</f>
        <v>15</v>
      </c>
      <c r="B1743" s="85" t="str" cm="1">
        <f t="array" ref="B1743">IFERROR(INDEX('03.Muestra'!$C$8:$C$42,SMALL(IF("Página Web"='03.Muestra'!$D$8:$D$42,ROW('03.Muestra'!$C$8:$C$42)-MIN(ROW('03.Muestra'!$D$8:$D$42))+1,""),ROW()-1728)),"")</f>
        <v>Voto por correo elector CERA en España</v>
      </c>
      <c r="C1743" s="85" t="str" cm="1">
        <f t="array" ref="C1743">IFERROR(INDEX('03.Muestra'!$F$8:$F$42,SMALL(IF("Página Web"='03.Muestra'!$D$8:$D$42,ROW('03.Muestra'!$F$8:$F$42)-MIN(ROW('03.Muestra'!$D$8:$D$42))+1,""),ROW()-1728)),"")</f>
        <v>https://elecciones.comunidad.madrid/es/preguntas-frecuentes/voto-correo-electores-residentes-extranjero</v>
      </c>
      <c r="D1743" s="99" t="s">
        <v>184</v>
      </c>
      <c r="E1743" s="79" t="str">
        <f t="shared" si="90"/>
        <v/>
      </c>
      <c r="F1743" s="18"/>
      <c r="G1743" s="18"/>
      <c r="H1743" s="18"/>
      <c r="I1743" s="18"/>
      <c r="J1743" s="18"/>
      <c r="K1743" s="184"/>
    </row>
    <row r="1744" spans="1:11" ht="12" customHeight="1">
      <c r="A1744" s="39" cm="1">
        <f t="array" ref="A1744">IFERROR(INDEX('03.Muestra'!$B$8:$B$42,SMALL(IF("Página Web"='03.Muestra'!$D$8:$D$42,ROW('03.Muestra'!$B$8:$B$42)-MIN(ROW('03.Muestra'!$D$8:$D$42))+1,""),ROW()-1728)),"")</f>
        <v>16</v>
      </c>
      <c r="B1744" s="85" t="str" cm="1">
        <f t="array" ref="B1744">IFERROR(INDEX('03.Muestra'!$C$8:$C$42,SMALL(IF("Página Web"='03.Muestra'!$D$8:$D$42,ROW('03.Muestra'!$C$8:$C$42)-MIN(ROW('03.Muestra'!$D$8:$D$42))+1,""),ROW()-1728)),"")</f>
        <v>Contacto</v>
      </c>
      <c r="C1744" s="85" t="str" cm="1">
        <f t="array" ref="C1744">IFERROR(INDEX('03.Muestra'!$F$8:$F$42,SMALL(IF("Página Web"='03.Muestra'!$D$8:$D$42,ROW('03.Muestra'!$F$8:$F$42)-MIN(ROW('03.Muestra'!$D$8:$D$42))+1,""),ROW()-1728)),"")</f>
        <v>https://elecciones.comunidad.madrid/es/buzon-de-sugerencias</v>
      </c>
      <c r="D1744" s="99" t="s">
        <v>184</v>
      </c>
      <c r="E1744" s="79" t="str">
        <f t="shared" si="90"/>
        <v/>
      </c>
      <c r="F1744" s="18"/>
      <c r="G1744" s="18"/>
      <c r="H1744" s="18"/>
      <c r="I1744" s="18"/>
      <c r="J1744" s="18"/>
      <c r="K1744" s="184"/>
    </row>
    <row r="1745" spans="1:11" ht="12" customHeight="1">
      <c r="A1745" s="39" cm="1">
        <f t="array" ref="A1745">IFERROR(INDEX('03.Muestra'!$B$8:$B$42,SMALL(IF("Página Web"='03.Muestra'!$D$8:$D$42,ROW('03.Muestra'!$B$8:$B$42)-MIN(ROW('03.Muestra'!$D$8:$D$42))+1,""),ROW()-1728)),"")</f>
        <v>17</v>
      </c>
      <c r="B1745" s="85" t="str" cm="1">
        <f t="array" ref="B1745">IFERROR(INDEX('03.Muestra'!$C$8:$C$42,SMALL(IF("Página Web"='03.Muestra'!$D$8:$D$42,ROW('03.Muestra'!$C$8:$C$42)-MIN(ROW('03.Muestra'!$D$8:$D$42))+1,""),ROW()-1728)),"")</f>
        <v>Buscador</v>
      </c>
      <c r="C1745" s="85" t="str" cm="1">
        <f t="array" ref="C1745">IFERROR(INDEX('03.Muestra'!$F$8:$F$42,SMALL(IF("Página Web"='03.Muestra'!$D$8:$D$42,ROW('03.Muestra'!$F$8:$F$42)-MIN(ROW('03.Muestra'!$D$8:$D$42))+1,""),ROW()-1728)),"")</f>
        <v>https://elecciones.comunidad.madrid/es/search?search_api_fulltext=partido</v>
      </c>
      <c r="D1745" s="99" t="s">
        <v>184</v>
      </c>
      <c r="E1745" s="79" t="str">
        <f t="shared" si="90"/>
        <v/>
      </c>
      <c r="F1745" s="18"/>
      <c r="G1745" s="18"/>
      <c r="H1745" s="18"/>
      <c r="I1745" s="18"/>
      <c r="J1745" s="18"/>
      <c r="K1745" s="184"/>
    </row>
    <row r="1746" spans="1:11" ht="12" customHeight="1">
      <c r="A1746" s="39" cm="1">
        <f t="array" ref="A1746">IFERROR(INDEX('03.Muestra'!$B$8:$B$42,SMALL(IF("Página Web"='03.Muestra'!$D$8:$D$42,ROW('03.Muestra'!$B$8:$B$42)-MIN(ROW('03.Muestra'!$D$8:$D$42))+1,""),ROW()-1728)),"")</f>
        <v>18</v>
      </c>
      <c r="B1746" s="85" t="str" cm="1">
        <f t="array" ref="B1746">IFERROR(INDEX('03.Muestra'!$C$8:$C$42,SMALL(IF("Página Web"='03.Muestra'!$D$8:$D$42,ROW('03.Muestra'!$C$8:$C$42)-MIN(ROW('03.Muestra'!$D$8:$D$42))+1,""),ROW()-1728)),"")</f>
        <v>Aviso Legal-Privacidad</v>
      </c>
      <c r="C1746" s="85" t="str" cm="1">
        <f t="array" ref="C1746">IFERROR(INDEX('03.Muestra'!$F$8:$F$42,SMALL(IF("Página Web"='03.Muestra'!$D$8:$D$42,ROW('03.Muestra'!$F$8:$F$42)-MIN(ROW('03.Muestra'!$D$8:$D$42))+1,""),ROW()-1728)),"")</f>
        <v>https://elecciones.comunidad.madrid/es/aviso-legal</v>
      </c>
      <c r="D1746" s="99" t="s">
        <v>184</v>
      </c>
      <c r="E1746" s="79" t="str">
        <f t="shared" si="90"/>
        <v/>
      </c>
      <c r="F1746" s="18"/>
      <c r="G1746" s="18"/>
      <c r="H1746" s="18"/>
      <c r="I1746" s="18"/>
      <c r="J1746" s="18"/>
      <c r="K1746" s="184"/>
    </row>
    <row r="1747" spans="1:11" ht="12" customHeight="1">
      <c r="A1747" s="39" cm="1">
        <f t="array" ref="A1747">IFERROR(INDEX('03.Muestra'!$B$8:$B$42,SMALL(IF("Página Web"='03.Muestra'!$D$8:$D$42,ROW('03.Muestra'!$B$8:$B$42)-MIN(ROW('03.Muestra'!$D$8:$D$42))+1,""),ROW()-1728)),"")</f>
        <v>19</v>
      </c>
      <c r="B1747" s="85" t="str" cm="1">
        <f t="array" ref="B1747">IFERROR(INDEX('03.Muestra'!$C$8:$C$42,SMALL(IF("Página Web"='03.Muestra'!$D$8:$D$42,ROW('03.Muestra'!$C$8:$C$42)-MIN(ROW('03.Muestra'!$D$8:$D$42))+1,""),ROW()-1728)),"")</f>
        <v>Mapa Web</v>
      </c>
      <c r="C1747" s="85" t="str" cm="1">
        <f t="array" ref="C1747">IFERROR(INDEX('03.Muestra'!$F$8:$F$42,SMALL(IF("Página Web"='03.Muestra'!$D$8:$D$42,ROW('03.Muestra'!$F$8:$F$42)-MIN(ROW('03.Muestra'!$D$8:$D$42))+1,""),ROW()-1728)),"")</f>
        <v>https://elecciones.comunidad.madrid/es/sitemap</v>
      </c>
      <c r="D1747" s="99" t="s">
        <v>184</v>
      </c>
      <c r="E1747" s="79" t="str">
        <f t="shared" si="90"/>
        <v/>
      </c>
      <c r="F1747" s="18"/>
      <c r="G1747" s="18"/>
      <c r="H1747" s="18"/>
      <c r="I1747" s="18"/>
      <c r="J1747" s="18"/>
      <c r="K1747" s="184"/>
    </row>
    <row r="1748" spans="1:11" ht="12" customHeight="1">
      <c r="A1748" s="39" cm="1">
        <f t="array" ref="A1748">IFERROR(INDEX('03.Muestra'!$B$8:$B$42,SMALL(IF("Página Web"='03.Muestra'!$D$8:$D$42,ROW('03.Muestra'!$B$8:$B$42)-MIN(ROW('03.Muestra'!$D$8:$D$42))+1,""),ROW()-1728)),"")</f>
        <v>20</v>
      </c>
      <c r="B1748" s="85" t="str" cm="1">
        <f t="array" ref="B1748">IFERROR(INDEX('03.Muestra'!$C$8:$C$42,SMALL(IF("Página Web"='03.Muestra'!$D$8:$D$42,ROW('03.Muestra'!$C$8:$C$42)-MIN(ROW('03.Muestra'!$D$8:$D$42))+1,""),ROW()-1728)),"")</f>
        <v>Declaracion Accesibilidad</v>
      </c>
      <c r="C1748" s="85" t="str" cm="1">
        <f t="array" ref="C1748">IFERROR(INDEX('03.Muestra'!$F$8:$F$42,SMALL(IF("Página Web"='03.Muestra'!$D$8:$D$42,ROW('03.Muestra'!$F$8:$F$42)-MIN(ROW('03.Muestra'!$D$8:$D$42))+1,""),ROW()-1728)),"")</f>
        <v>https://elecciones.comunidad.madrid/es/accesibilidad</v>
      </c>
      <c r="D1748" s="99" t="s">
        <v>184</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ref="D1749:D1763" si="91">IF(AND(B1749&lt;&gt;"",C1749&lt;&gt;""),"N/T","")</f>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181</v>
      </c>
      <c r="B1766" s="23" t="s">
        <v>173</v>
      </c>
      <c r="C1766" s="24" t="s">
        <v>270</v>
      </c>
      <c r="D1766" s="25" t="s">
        <v>183</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Inicio</v>
      </c>
      <c r="C1767" s="85" t="str" cm="1">
        <f t="array" ref="C1767">IFERROR(INDEX('03.Muestra'!$F$8:$F$42,SMALL(IF("Página Web"='03.Muestra'!$D$8:$D$42,ROW('03.Muestra'!$F$8:$F$42)-MIN(ROW('03.Muestra'!$D$8:$D$42))+1,""),ROW()-1766)),"")</f>
        <v>https://elecciones.comunidad.madrid/es</v>
      </c>
      <c r="D1767" s="99" t="s">
        <v>184</v>
      </c>
      <c r="E1767" s="79" t="str">
        <f t="shared" ref="E1767:E1801" si="92">IF(D1767&lt;&gt;"",IF(AND(B1767&lt;&gt;"",C1767&lt;&gt;""),"","ERR"),"")</f>
        <v/>
      </c>
      <c r="F1767" s="86" t="s">
        <v>185</v>
      </c>
      <c r="G1767" s="87" t="s">
        <v>186</v>
      </c>
      <c r="H1767" s="88" t="s">
        <v>184</v>
      </c>
      <c r="I1767" s="89" t="s">
        <v>176</v>
      </c>
      <c r="J1767" s="90" t="s">
        <v>174</v>
      </c>
      <c r="K1767" s="179" t="s">
        <v>180</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Resultado Elecciones 28M 2023</v>
      </c>
      <c r="C1768" s="85" t="str" cm="1">
        <f t="array" ref="C1768">IFERROR(INDEX('03.Muestra'!$F$8:$F$42,SMALL(IF("Página Web"='03.Muestra'!$D$8:$D$42,ROW('03.Muestra'!$F$8:$F$42)-MIN(ROW('03.Muestra'!$D$8:$D$42))+1,""),ROW()-1766)),"")</f>
        <v>https://elecciones.comunidad.madrid/es/resultados-elecciones-asamblea-madrid-28m-2023</v>
      </c>
      <c r="D1768" s="99" t="s">
        <v>184</v>
      </c>
      <c r="E1768" s="79" t="str">
        <f t="shared" si="92"/>
        <v/>
      </c>
      <c r="F1768" s="91">
        <f ca="1">COUNTIF($D1767:INDIRECT("$D" &amp;  SUM(ROW()-1,'03.Muestra'!$D$45)-1),F1767)</f>
        <v>0</v>
      </c>
      <c r="G1768" s="91">
        <f ca="1">COUNTIF($D1767:INDIRECT("$D" &amp;  SUM(ROW()-1,'03.Muestra'!$D$45)-1),G1767)</f>
        <v>0</v>
      </c>
      <c r="H1768" s="91">
        <f ca="1">COUNTIF($D1767:INDIRECT("$D" &amp;  SUM(ROW()-1,'03.Muestra'!$D$45)-1),H1767)</f>
        <v>20</v>
      </c>
      <c r="I1768" s="91">
        <f ca="1">COUNTIF($D1767:INDIRECT("$D" &amp;  SUM(ROW()-1,'03.Muestra'!$D$45)-1),I1767)</f>
        <v>0</v>
      </c>
      <c r="J1768" s="91">
        <f ca="1">COUNTIF($D1767:INDIRECT("$D" &amp;  SUM(ROW()-1,'03.Muestra'!$D$45)-1),J1767)</f>
        <v>0</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Normativa electoral</v>
      </c>
      <c r="C1769" s="85" t="str" cm="1">
        <f t="array" ref="C1769">IFERROR(INDEX('03.Muestra'!$F$8:$F$42,SMALL(IF("Página Web"='03.Muestra'!$D$8:$D$42,ROW('03.Muestra'!$F$8:$F$42)-MIN(ROW('03.Muestra'!$D$8:$D$42))+1,""),ROW()-1766)),"")</f>
        <v>https://elecciones.comunidad.madrid/es/informacion-electoral/normativa-electoral</v>
      </c>
      <c r="D1769" s="99" t="s">
        <v>184</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Calendario electoral</v>
      </c>
      <c r="C1770" s="85" t="str" cm="1">
        <f t="array" ref="C1770">IFERROR(INDEX('03.Muestra'!$F$8:$F$42,SMALL(IF("Página Web"='03.Muestra'!$D$8:$D$42,ROW('03.Muestra'!$F$8:$F$42)-MIN(ROW('03.Muestra'!$D$8:$D$42))+1,""),ROW()-1766)),"")</f>
        <v>https://elecciones.comunidad.madrid/es/informacion-electoral/calendario-electoral</v>
      </c>
      <c r="D1770" s="99" t="s">
        <v>184</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Direcciones y teléfonos</v>
      </c>
      <c r="C1771" s="85" t="str" cm="1">
        <f t="array" ref="C1771">IFERROR(INDEX('03.Muestra'!$F$8:$F$42,SMALL(IF("Página Web"='03.Muestra'!$D$8:$D$42,ROW('03.Muestra'!$F$8:$F$42)-MIN(ROW('03.Muestra'!$D$8:$D$42))+1,""),ROW()-1766)),"")</f>
        <v>https://elecciones.comunidad.madrid/es/juntas-electorales/direcciones-telefonos</v>
      </c>
      <c r="D1771" s="99" t="s">
        <v>184</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Impresos electrónicos</v>
      </c>
      <c r="C1772" s="85" t="str" cm="1">
        <f t="array" ref="C1772">IFERROR(INDEX('03.Muestra'!$F$8:$F$42,SMALL(IF("Página Web"='03.Muestra'!$D$8:$D$42,ROW('03.Muestra'!$F$8:$F$42)-MIN(ROW('03.Muestra'!$D$8:$D$42))+1,""),ROW()-1766)),"")</f>
        <v>https://elecciones.comunidad.madrid/es/formaciones-politicas/impresos-electronicos</v>
      </c>
      <c r="D1772" s="99" t="s">
        <v>184</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Listado de candidaturas</v>
      </c>
      <c r="C1773" s="85" t="str" cm="1">
        <f t="array" ref="C1773">IFERROR(INDEX('03.Muestra'!$F$8:$F$42,SMALL(IF("Página Web"='03.Muestra'!$D$8:$D$42,ROW('03.Muestra'!$F$8:$F$42)-MIN(ROW('03.Muestra'!$D$8:$D$42))+1,""),ROW()-1766)),"")</f>
        <v>https://elecciones.comunidad.madrid/es/formaciones-politicas/listado-candidaturas-proclamadas</v>
      </c>
      <c r="D1773" s="99" t="s">
        <v>184</v>
      </c>
      <c r="E1773" s="79" t="str">
        <f t="shared" si="92"/>
        <v/>
      </c>
      <c r="F1773" s="18"/>
      <c r="G1773" s="18"/>
      <c r="H1773" s="18"/>
      <c r="I1773" s="18"/>
      <c r="J1773" s="18"/>
      <c r="K1773" s="184"/>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Partido Feminista de España</v>
      </c>
      <c r="C1774" s="85" t="str" cm="1">
        <f t="array" ref="C1774">IFERROR(INDEX('03.Muestra'!$F$8:$F$42,SMALL(IF("Página Web"='03.Muestra'!$D$8:$D$42,ROW('03.Muestra'!$F$8:$F$42)-MIN(ROW('03.Muestra'!$D$8:$D$42))+1,""),ROW()-1766)),"")</f>
        <v>https://elecciones.comunidad.madrid/es/formaciones-politicas/listado-candidaturas/partido-feminista-espana</v>
      </c>
      <c r="D1774" s="99" t="s">
        <v>184</v>
      </c>
      <c r="E1774" s="79" t="str">
        <f t="shared" si="92"/>
        <v/>
      </c>
      <c r="F1774" s="18"/>
      <c r="G1774" s="18"/>
      <c r="H1774" s="18"/>
      <c r="I1774" s="18"/>
      <c r="J1774" s="18"/>
      <c r="K1774" s="184"/>
    </row>
    <row r="1775" spans="1:11" ht="12" customHeight="1">
      <c r="A1775" s="39" cm="1">
        <f t="array" ref="A1775">IFERROR(INDEX('03.Muestra'!$B$8:$B$42,SMALL(IF("Página Web"='03.Muestra'!$D$8:$D$42,ROW('03.Muestra'!$B$8:$B$42)-MIN(ROW('03.Muestra'!$D$8:$D$42))+1,""),ROW()-1766)),"")</f>
        <v>9</v>
      </c>
      <c r="B1775" s="85" t="str" cm="1">
        <f t="array" ref="B1775">IFERROR(INDEX('03.Muestra'!$C$8:$C$42,SMALL(IF("Página Web"='03.Muestra'!$D$8:$D$42,ROW('03.Muestra'!$C$8:$C$42)-MIN(ROW('03.Muestra'!$D$8:$D$42))+1,""),ROW()-1766)),"")</f>
        <v>¿Dónde voto?</v>
      </c>
      <c r="C1775" s="85" t="str" cm="1">
        <f t="array" ref="C1775">IFERROR(INDEX('03.Muestra'!$F$8:$F$42,SMALL(IF("Página Web"='03.Muestra'!$D$8:$D$42,ROW('03.Muestra'!$F$8:$F$42)-MIN(ROW('03.Muestra'!$D$8:$D$42))+1,""),ROW()-1766)),"")</f>
        <v>https://elecciones.comunidad.madrid/es/votar/donde-voto</v>
      </c>
      <c r="D1775" s="99" t="s">
        <v>184</v>
      </c>
      <c r="E1775" s="79" t="str">
        <f t="shared" si="92"/>
        <v/>
      </c>
      <c r="F1775" s="18"/>
      <c r="G1775" s="18"/>
      <c r="H1775" s="18"/>
      <c r="I1775" s="18"/>
      <c r="J1775" s="18"/>
      <c r="K1775" s="184"/>
    </row>
    <row r="1776" spans="1:11" ht="12" customHeight="1">
      <c r="A1776" s="39" cm="1">
        <f t="array" ref="A1776">IFERROR(INDEX('03.Muestra'!$B$8:$B$42,SMALL(IF("Página Web"='03.Muestra'!$D$8:$D$42,ROW('03.Muestra'!$B$8:$B$42)-MIN(ROW('03.Muestra'!$D$8:$D$42))+1,""),ROW()-1766)),"")</f>
        <v>10</v>
      </c>
      <c r="B1776" s="85" t="str" cm="1">
        <f t="array" ref="B1776">IFERROR(INDEX('03.Muestra'!$C$8:$C$42,SMALL(IF("Página Web"='03.Muestra'!$D$8:$D$42,ROW('03.Muestra'!$C$8:$C$42)-MIN(ROW('03.Muestra'!$D$8:$D$42))+1,""),ROW()-1766)),"")</f>
        <v>Voto presencial</v>
      </c>
      <c r="C1776" s="85" t="str" cm="1">
        <f t="array" ref="C1776">IFERROR(INDEX('03.Muestra'!$F$8:$F$42,SMALL(IF("Página Web"='03.Muestra'!$D$8:$D$42,ROW('03.Muestra'!$F$8:$F$42)-MIN(ROW('03.Muestra'!$D$8:$D$42))+1,""),ROW()-1766)),"")</f>
        <v>https://elecciones.comunidad.madrid/es/voto-local-electoral/voto-presencial</v>
      </c>
      <c r="D1776" s="99" t="s">
        <v>184</v>
      </c>
      <c r="E1776" s="79" t="str">
        <f t="shared" si="92"/>
        <v/>
      </c>
      <c r="F1776" s="18"/>
      <c r="G1776" s="18"/>
      <c r="H1776" s="18"/>
      <c r="I1776" s="18"/>
      <c r="J1776" s="18"/>
      <c r="K1776" s="184"/>
    </row>
    <row r="1777" spans="1:11" ht="12" customHeight="1">
      <c r="A1777" s="39" cm="1">
        <f t="array" ref="A1777">IFERROR(INDEX('03.Muestra'!$B$8:$B$42,SMALL(IF("Página Web"='03.Muestra'!$D$8:$D$42,ROW('03.Muestra'!$B$8:$B$42)-MIN(ROW('03.Muestra'!$D$8:$D$42))+1,""),ROW()-1766)),"")</f>
        <v>11</v>
      </c>
      <c r="B1777" s="85" t="str" cm="1">
        <f t="array" ref="B1777">IFERROR(INDEX('03.Muestra'!$C$8:$C$42,SMALL(IF("Página Web"='03.Muestra'!$D$8:$D$42,ROW('03.Muestra'!$C$8:$C$42)-MIN(ROW('03.Muestra'!$D$8:$D$42))+1,""),ROW()-1766)),"")</f>
        <v>Ciudadanos temporalmente en el extranjero</v>
      </c>
      <c r="C1777" s="85" t="str" cm="1">
        <f t="array" ref="C1777">IFERROR(INDEX('03.Muestra'!$F$8:$F$42,SMALL(IF("Página Web"='03.Muestra'!$D$8:$D$42,ROW('03.Muestra'!$F$8:$F$42)-MIN(ROW('03.Muestra'!$D$8:$D$42))+1,""),ROW()-1766)),"")</f>
        <v>https://elecciones.comunidad.madrid/es/voto-correo/solicitud-voto-temporalmente-ausentes</v>
      </c>
      <c r="D1777" s="99" t="s">
        <v>184</v>
      </c>
      <c r="E1777" s="79" t="str">
        <f t="shared" si="92"/>
        <v/>
      </c>
      <c r="F1777" s="18"/>
      <c r="G1777" s="18"/>
      <c r="H1777" s="18"/>
      <c r="I1777" s="18"/>
      <c r="J1777" s="18"/>
      <c r="K1777" s="184"/>
    </row>
    <row r="1778" spans="1:11" ht="12" customHeight="1">
      <c r="A1778" s="39" cm="1">
        <f t="array" ref="A1778">IFERROR(INDEX('03.Muestra'!$B$8:$B$42,SMALL(IF("Página Web"='03.Muestra'!$D$8:$D$42,ROW('03.Muestra'!$B$8:$B$42)-MIN(ROW('03.Muestra'!$D$8:$D$42))+1,""),ROW()-1766)),"")</f>
        <v>12</v>
      </c>
      <c r="B1778" s="85" t="str" cm="1">
        <f t="array" ref="B1778">IFERROR(INDEX('03.Muestra'!$C$8:$C$42,SMALL(IF("Página Web"='03.Muestra'!$D$8:$D$42,ROW('03.Muestra'!$C$8:$C$42)-MIN(ROW('03.Muestra'!$D$8:$D$42))+1,""),ROW()-1766)),"")</f>
        <v>Nuevo votante</v>
      </c>
      <c r="C1778" s="85" t="str" cm="1">
        <f t="array" ref="C1778">IFERROR(INDEX('03.Muestra'!$F$8:$F$42,SMALL(IF("Página Web"='03.Muestra'!$D$8:$D$42,ROW('03.Muestra'!$F$8:$F$42)-MIN(ROW('03.Muestra'!$D$8:$D$42))+1,""),ROW()-1766)),"")</f>
        <v>https://elecciones.comunidad.madrid/es/votar/nuevo-votante</v>
      </c>
      <c r="D1778" s="99" t="s">
        <v>184</v>
      </c>
      <c r="E1778" s="79" t="str">
        <f t="shared" si="92"/>
        <v/>
      </c>
      <c r="F1778" s="18"/>
      <c r="G1778" s="18"/>
      <c r="H1778" s="18"/>
      <c r="I1778" s="18"/>
      <c r="J1778" s="18"/>
      <c r="K1778" s="184"/>
    </row>
    <row r="1779" spans="1:11" ht="12" customHeight="1">
      <c r="A1779" s="39" cm="1">
        <f t="array" ref="A1779">IFERROR(INDEX('03.Muestra'!$B$8:$B$42,SMALL(IF("Página Web"='03.Muestra'!$D$8:$D$42,ROW('03.Muestra'!$B$8:$B$42)-MIN(ROW('03.Muestra'!$D$8:$D$42))+1,""),ROW()-1766)),"")</f>
        <v>13</v>
      </c>
      <c r="B1779" s="85" t="str" cm="1">
        <f t="array" ref="B1779">IFERROR(INDEX('03.Muestra'!$C$8:$C$42,SMALL(IF("Página Web"='03.Muestra'!$D$8:$D$42,ROW('03.Muestra'!$C$8:$C$42)-MIN(ROW('03.Muestra'!$D$8:$D$42))+1,""),ROW()-1766)),"")</f>
        <v>Simulación método D'Hondt</v>
      </c>
      <c r="C1779" s="85" t="str" cm="1">
        <f t="array" ref="C1779">IFERROR(INDEX('03.Muestra'!$F$8:$F$42,SMALL(IF("Página Web"='03.Muestra'!$D$8:$D$42,ROW('03.Muestra'!$F$8:$F$42)-MIN(ROW('03.Muestra'!$D$8:$D$42))+1,""),ROW()-1766)),"")</f>
        <v>https://elecciones.comunidad.madrid/es/informacion-util/simulacion-metodo-dhondt</v>
      </c>
      <c r="D1779" s="99" t="s">
        <v>184</v>
      </c>
      <c r="E1779" s="79" t="str">
        <f t="shared" si="92"/>
        <v/>
      </c>
      <c r="F1779" s="18"/>
      <c r="G1779" s="18"/>
      <c r="H1779" s="18"/>
      <c r="I1779" s="18"/>
      <c r="J1779" s="18"/>
      <c r="K1779" s="184"/>
    </row>
    <row r="1780" spans="1:11" ht="12" customHeight="1">
      <c r="A1780" s="39" cm="1">
        <f t="array" ref="A1780">IFERROR(INDEX('03.Muestra'!$B$8:$B$42,SMALL(IF("Página Web"='03.Muestra'!$D$8:$D$42,ROW('03.Muestra'!$B$8:$B$42)-MIN(ROW('03.Muestra'!$D$8:$D$42))+1,""),ROW()-1766)),"")</f>
        <v>14</v>
      </c>
      <c r="B1780" s="85" t="str" cm="1">
        <f t="array" ref="B1780">IFERROR(INDEX('03.Muestra'!$C$8:$C$42,SMALL(IF("Página Web"='03.Muestra'!$D$8:$D$42,ROW('03.Muestra'!$C$8:$C$42)-MIN(ROW('03.Muestra'!$D$8:$D$42))+1,""),ROW()-1766)),"")</f>
        <v>Ley D'Hondt</v>
      </c>
      <c r="C1780" s="85" t="str" cm="1">
        <f t="array" ref="C1780">IFERROR(INDEX('03.Muestra'!$F$8:$F$42,SMALL(IF("Página Web"='03.Muestra'!$D$8:$D$42,ROW('03.Muestra'!$F$8:$F$42)-MIN(ROW('03.Muestra'!$D$8:$D$42))+1,""),ROW()-1766)),"")</f>
        <v>https://elecciones.comunidad.madrid/es/resultados/ley_d_hondt</v>
      </c>
      <c r="D1780" s="99" t="s">
        <v>184</v>
      </c>
      <c r="E1780" s="79" t="str">
        <f t="shared" si="92"/>
        <v/>
      </c>
      <c r="F1780" s="18"/>
      <c r="G1780" s="18"/>
      <c r="H1780" s="18"/>
      <c r="I1780" s="18"/>
      <c r="J1780" s="18"/>
      <c r="K1780" s="184"/>
    </row>
    <row r="1781" spans="1:11" ht="12" customHeight="1">
      <c r="A1781" s="39" cm="1">
        <f t="array" ref="A1781">IFERROR(INDEX('03.Muestra'!$B$8:$B$42,SMALL(IF("Página Web"='03.Muestra'!$D$8:$D$42,ROW('03.Muestra'!$B$8:$B$42)-MIN(ROW('03.Muestra'!$D$8:$D$42))+1,""),ROW()-1766)),"")</f>
        <v>15</v>
      </c>
      <c r="B1781" s="85" t="str" cm="1">
        <f t="array" ref="B1781">IFERROR(INDEX('03.Muestra'!$C$8:$C$42,SMALL(IF("Página Web"='03.Muestra'!$D$8:$D$42,ROW('03.Muestra'!$C$8:$C$42)-MIN(ROW('03.Muestra'!$D$8:$D$42))+1,""),ROW()-1766)),"")</f>
        <v>Voto por correo elector CERA en España</v>
      </c>
      <c r="C1781" s="85" t="str" cm="1">
        <f t="array" ref="C1781">IFERROR(INDEX('03.Muestra'!$F$8:$F$42,SMALL(IF("Página Web"='03.Muestra'!$D$8:$D$42,ROW('03.Muestra'!$F$8:$F$42)-MIN(ROW('03.Muestra'!$D$8:$D$42))+1,""),ROW()-1766)),"")</f>
        <v>https://elecciones.comunidad.madrid/es/preguntas-frecuentes/voto-correo-electores-residentes-extranjero</v>
      </c>
      <c r="D1781" s="99" t="s">
        <v>184</v>
      </c>
      <c r="E1781" s="79" t="str">
        <f t="shared" si="92"/>
        <v/>
      </c>
      <c r="F1781" s="18"/>
      <c r="G1781" s="18"/>
      <c r="H1781" s="18"/>
      <c r="I1781" s="18"/>
      <c r="J1781" s="18"/>
      <c r="K1781" s="184"/>
    </row>
    <row r="1782" spans="1:11" ht="12" customHeight="1">
      <c r="A1782" s="39" cm="1">
        <f t="array" ref="A1782">IFERROR(INDEX('03.Muestra'!$B$8:$B$42,SMALL(IF("Página Web"='03.Muestra'!$D$8:$D$42,ROW('03.Muestra'!$B$8:$B$42)-MIN(ROW('03.Muestra'!$D$8:$D$42))+1,""),ROW()-1766)),"")</f>
        <v>16</v>
      </c>
      <c r="B1782" s="85" t="str" cm="1">
        <f t="array" ref="B1782">IFERROR(INDEX('03.Muestra'!$C$8:$C$42,SMALL(IF("Página Web"='03.Muestra'!$D$8:$D$42,ROW('03.Muestra'!$C$8:$C$42)-MIN(ROW('03.Muestra'!$D$8:$D$42))+1,""),ROW()-1766)),"")</f>
        <v>Contacto</v>
      </c>
      <c r="C1782" s="85" t="str" cm="1">
        <f t="array" ref="C1782">IFERROR(INDEX('03.Muestra'!$F$8:$F$42,SMALL(IF("Página Web"='03.Muestra'!$D$8:$D$42,ROW('03.Muestra'!$F$8:$F$42)-MIN(ROW('03.Muestra'!$D$8:$D$42))+1,""),ROW()-1766)),"")</f>
        <v>https://elecciones.comunidad.madrid/es/buzon-de-sugerencias</v>
      </c>
      <c r="D1782" s="99" t="s">
        <v>184</v>
      </c>
      <c r="E1782" s="79" t="str">
        <f t="shared" si="92"/>
        <v/>
      </c>
      <c r="F1782" s="18"/>
      <c r="G1782" s="18"/>
      <c r="H1782" s="18"/>
      <c r="I1782" s="18"/>
      <c r="J1782" s="18"/>
      <c r="K1782" s="184"/>
    </row>
    <row r="1783" spans="1:11" ht="12" customHeight="1">
      <c r="A1783" s="39" cm="1">
        <f t="array" ref="A1783">IFERROR(INDEX('03.Muestra'!$B$8:$B$42,SMALL(IF("Página Web"='03.Muestra'!$D$8:$D$42,ROW('03.Muestra'!$B$8:$B$42)-MIN(ROW('03.Muestra'!$D$8:$D$42))+1,""),ROW()-1766)),"")</f>
        <v>17</v>
      </c>
      <c r="B1783" s="85" t="str" cm="1">
        <f t="array" ref="B1783">IFERROR(INDEX('03.Muestra'!$C$8:$C$42,SMALL(IF("Página Web"='03.Muestra'!$D$8:$D$42,ROW('03.Muestra'!$C$8:$C$42)-MIN(ROW('03.Muestra'!$D$8:$D$42))+1,""),ROW()-1766)),"")</f>
        <v>Buscador</v>
      </c>
      <c r="C1783" s="85" t="str" cm="1">
        <f t="array" ref="C1783">IFERROR(INDEX('03.Muestra'!$F$8:$F$42,SMALL(IF("Página Web"='03.Muestra'!$D$8:$D$42,ROW('03.Muestra'!$F$8:$F$42)-MIN(ROW('03.Muestra'!$D$8:$D$42))+1,""),ROW()-1766)),"")</f>
        <v>https://elecciones.comunidad.madrid/es/search?search_api_fulltext=partido</v>
      </c>
      <c r="D1783" s="99" t="s">
        <v>184</v>
      </c>
      <c r="E1783" s="79" t="str">
        <f t="shared" si="92"/>
        <v/>
      </c>
      <c r="F1783" s="18"/>
      <c r="G1783" s="18"/>
      <c r="H1783" s="18"/>
      <c r="I1783" s="18"/>
      <c r="J1783" s="18"/>
      <c r="K1783" s="184"/>
    </row>
    <row r="1784" spans="1:11" ht="12" customHeight="1">
      <c r="A1784" s="39" cm="1">
        <f t="array" ref="A1784">IFERROR(INDEX('03.Muestra'!$B$8:$B$42,SMALL(IF("Página Web"='03.Muestra'!$D$8:$D$42,ROW('03.Muestra'!$B$8:$B$42)-MIN(ROW('03.Muestra'!$D$8:$D$42))+1,""),ROW()-1766)),"")</f>
        <v>18</v>
      </c>
      <c r="B1784" s="85" t="str" cm="1">
        <f t="array" ref="B1784">IFERROR(INDEX('03.Muestra'!$C$8:$C$42,SMALL(IF("Página Web"='03.Muestra'!$D$8:$D$42,ROW('03.Muestra'!$C$8:$C$42)-MIN(ROW('03.Muestra'!$D$8:$D$42))+1,""),ROW()-1766)),"")</f>
        <v>Aviso Legal-Privacidad</v>
      </c>
      <c r="C1784" s="85" t="str" cm="1">
        <f t="array" ref="C1784">IFERROR(INDEX('03.Muestra'!$F$8:$F$42,SMALL(IF("Página Web"='03.Muestra'!$D$8:$D$42,ROW('03.Muestra'!$F$8:$F$42)-MIN(ROW('03.Muestra'!$D$8:$D$42))+1,""),ROW()-1766)),"")</f>
        <v>https://elecciones.comunidad.madrid/es/aviso-legal</v>
      </c>
      <c r="D1784" s="99" t="s">
        <v>184</v>
      </c>
      <c r="E1784" s="79" t="str">
        <f t="shared" si="92"/>
        <v/>
      </c>
      <c r="F1784" s="18"/>
      <c r="G1784" s="18"/>
      <c r="H1784" s="18"/>
      <c r="I1784" s="18"/>
      <c r="J1784" s="18"/>
      <c r="K1784" s="184"/>
    </row>
    <row r="1785" spans="1:11" ht="12" customHeight="1">
      <c r="A1785" s="39" cm="1">
        <f t="array" ref="A1785">IFERROR(INDEX('03.Muestra'!$B$8:$B$42,SMALL(IF("Página Web"='03.Muestra'!$D$8:$D$42,ROW('03.Muestra'!$B$8:$B$42)-MIN(ROW('03.Muestra'!$D$8:$D$42))+1,""),ROW()-1766)),"")</f>
        <v>19</v>
      </c>
      <c r="B1785" s="85" t="str" cm="1">
        <f t="array" ref="B1785">IFERROR(INDEX('03.Muestra'!$C$8:$C$42,SMALL(IF("Página Web"='03.Muestra'!$D$8:$D$42,ROW('03.Muestra'!$C$8:$C$42)-MIN(ROW('03.Muestra'!$D$8:$D$42))+1,""),ROW()-1766)),"")</f>
        <v>Mapa Web</v>
      </c>
      <c r="C1785" s="85" t="str" cm="1">
        <f t="array" ref="C1785">IFERROR(INDEX('03.Muestra'!$F$8:$F$42,SMALL(IF("Página Web"='03.Muestra'!$D$8:$D$42,ROW('03.Muestra'!$F$8:$F$42)-MIN(ROW('03.Muestra'!$D$8:$D$42))+1,""),ROW()-1766)),"")</f>
        <v>https://elecciones.comunidad.madrid/es/sitemap</v>
      </c>
      <c r="D1785" s="99" t="s">
        <v>184</v>
      </c>
      <c r="E1785" s="79" t="str">
        <f t="shared" si="92"/>
        <v/>
      </c>
      <c r="F1785" s="18"/>
      <c r="G1785" s="18"/>
      <c r="H1785" s="18"/>
      <c r="I1785" s="18"/>
      <c r="J1785" s="18"/>
      <c r="K1785" s="184"/>
    </row>
    <row r="1786" spans="1:11" ht="12" customHeight="1">
      <c r="A1786" s="39" cm="1">
        <f t="array" ref="A1786">IFERROR(INDEX('03.Muestra'!$B$8:$B$42,SMALL(IF("Página Web"='03.Muestra'!$D$8:$D$42,ROW('03.Muestra'!$B$8:$B$42)-MIN(ROW('03.Muestra'!$D$8:$D$42))+1,""),ROW()-1766)),"")</f>
        <v>20</v>
      </c>
      <c r="B1786" s="85" t="str" cm="1">
        <f t="array" ref="B1786">IFERROR(INDEX('03.Muestra'!$C$8:$C$42,SMALL(IF("Página Web"='03.Muestra'!$D$8:$D$42,ROW('03.Muestra'!$C$8:$C$42)-MIN(ROW('03.Muestra'!$D$8:$D$42))+1,""),ROW()-1766)),"")</f>
        <v>Declaracion Accesibilidad</v>
      </c>
      <c r="C1786" s="85" t="str" cm="1">
        <f t="array" ref="C1786">IFERROR(INDEX('03.Muestra'!$F$8:$F$42,SMALL(IF("Página Web"='03.Muestra'!$D$8:$D$42,ROW('03.Muestra'!$F$8:$F$42)-MIN(ROW('03.Muestra'!$D$8:$D$42))+1,""),ROW()-1766)),"")</f>
        <v>https://elecciones.comunidad.madrid/es/accesibilidad</v>
      </c>
      <c r="D1786" s="99" t="s">
        <v>184</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ref="D1787:D1801" si="93">IF(AND(B1787&lt;&gt;"",C1787&lt;&gt;""),"N/T","")</f>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181</v>
      </c>
      <c r="B1804" s="23" t="s">
        <v>173</v>
      </c>
      <c r="C1804" s="24" t="s">
        <v>271</v>
      </c>
      <c r="D1804" s="25" t="s">
        <v>183</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Inicio</v>
      </c>
      <c r="C1805" s="85" t="str" cm="1">
        <f t="array" ref="C1805">IFERROR(INDEX('03.Muestra'!$F$8:$F$42,SMALL(IF("Página Web"='03.Muestra'!$D$8:$D$42,ROW('03.Muestra'!$F$8:$F$42)-MIN(ROW('03.Muestra'!$D$8:$D$42))+1,""),ROW()-1804)),"")</f>
        <v>https://elecciones.comunidad.madrid/es</v>
      </c>
      <c r="D1805" s="99" t="s">
        <v>174</v>
      </c>
      <c r="E1805" s="79" t="str">
        <f t="shared" ref="E1805:E1839" si="94">IF(D1805&lt;&gt;"",IF(AND(B1805&lt;&gt;"",C1805&lt;&gt;""),"","ERR"),"")</f>
        <v/>
      </c>
      <c r="F1805" s="86" t="s">
        <v>185</v>
      </c>
      <c r="G1805" s="87" t="s">
        <v>186</v>
      </c>
      <c r="H1805" s="88" t="s">
        <v>184</v>
      </c>
      <c r="I1805" s="89" t="s">
        <v>176</v>
      </c>
      <c r="J1805" s="90" t="s">
        <v>174</v>
      </c>
      <c r="K1805" s="179" t="s">
        <v>180</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Resultado Elecciones 28M 2023</v>
      </c>
      <c r="C1806" s="85" t="str" cm="1">
        <f t="array" ref="C1806">IFERROR(INDEX('03.Muestra'!$F$8:$F$42,SMALL(IF("Página Web"='03.Muestra'!$D$8:$D$42,ROW('03.Muestra'!$F$8:$F$42)-MIN(ROW('03.Muestra'!$D$8:$D$42))+1,""),ROW()-1804)),"")</f>
        <v>https://elecciones.comunidad.madrid/es/resultados-elecciones-asamblea-madrid-28m-2023</v>
      </c>
      <c r="D1806" s="99" t="s">
        <v>176</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1</v>
      </c>
      <c r="J1806" s="91">
        <f ca="1">COUNTIF($D1805:INDIRECT("$D" &amp;  SUM(ROW()-1,'03.Muestra'!$D$45)-1),J1805)</f>
        <v>19</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Normativa electoral</v>
      </c>
      <c r="C1807" s="85" t="str" cm="1">
        <f t="array" ref="C1807">IFERROR(INDEX('03.Muestra'!$F$8:$F$42,SMALL(IF("Página Web"='03.Muestra'!$D$8:$D$42,ROW('03.Muestra'!$F$8:$F$42)-MIN(ROW('03.Muestra'!$D$8:$D$42))+1,""),ROW()-1804)),"")</f>
        <v>https://elecciones.comunidad.madrid/es/informacion-electoral/normativa-electoral</v>
      </c>
      <c r="D1807" s="99" t="s">
        <v>174</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Calendario electoral</v>
      </c>
      <c r="C1808" s="85" t="str" cm="1">
        <f t="array" ref="C1808">IFERROR(INDEX('03.Muestra'!$F$8:$F$42,SMALL(IF("Página Web"='03.Muestra'!$D$8:$D$42,ROW('03.Muestra'!$F$8:$F$42)-MIN(ROW('03.Muestra'!$D$8:$D$42))+1,""),ROW()-1804)),"")</f>
        <v>https://elecciones.comunidad.madrid/es/informacion-electoral/calendario-electoral</v>
      </c>
      <c r="D1808" s="99" t="s">
        <v>174</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Direcciones y teléfonos</v>
      </c>
      <c r="C1809" s="85" t="str" cm="1">
        <f t="array" ref="C1809">IFERROR(INDEX('03.Muestra'!$F$8:$F$42,SMALL(IF("Página Web"='03.Muestra'!$D$8:$D$42,ROW('03.Muestra'!$F$8:$F$42)-MIN(ROW('03.Muestra'!$D$8:$D$42))+1,""),ROW()-1804)),"")</f>
        <v>https://elecciones.comunidad.madrid/es/juntas-electorales/direcciones-telefonos</v>
      </c>
      <c r="D1809" s="99" t="s">
        <v>174</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Impresos electrónicos</v>
      </c>
      <c r="C1810" s="85" t="str" cm="1">
        <f t="array" ref="C1810">IFERROR(INDEX('03.Muestra'!$F$8:$F$42,SMALL(IF("Página Web"='03.Muestra'!$D$8:$D$42,ROW('03.Muestra'!$F$8:$F$42)-MIN(ROW('03.Muestra'!$D$8:$D$42))+1,""),ROW()-1804)),"")</f>
        <v>https://elecciones.comunidad.madrid/es/formaciones-politicas/impresos-electronicos</v>
      </c>
      <c r="D1810" s="99" t="s">
        <v>174</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Listado de candidaturas</v>
      </c>
      <c r="C1811" s="85" t="str" cm="1">
        <f t="array" ref="C1811">IFERROR(INDEX('03.Muestra'!$F$8:$F$42,SMALL(IF("Página Web"='03.Muestra'!$D$8:$D$42,ROW('03.Muestra'!$F$8:$F$42)-MIN(ROW('03.Muestra'!$D$8:$D$42))+1,""),ROW()-1804)),"")</f>
        <v>https://elecciones.comunidad.madrid/es/formaciones-politicas/listado-candidaturas-proclamadas</v>
      </c>
      <c r="D1811" s="99" t="s">
        <v>174</v>
      </c>
      <c r="E1811" s="79" t="str">
        <f t="shared" si="94"/>
        <v/>
      </c>
      <c r="F1811" s="18"/>
      <c r="G1811" s="18"/>
      <c r="H1811" s="18"/>
      <c r="I1811" s="18"/>
      <c r="J1811" s="18"/>
      <c r="K1811" s="184"/>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Partido Feminista de España</v>
      </c>
      <c r="C1812" s="85" t="str" cm="1">
        <f t="array" ref="C1812">IFERROR(INDEX('03.Muestra'!$F$8:$F$42,SMALL(IF("Página Web"='03.Muestra'!$D$8:$D$42,ROW('03.Muestra'!$F$8:$F$42)-MIN(ROW('03.Muestra'!$D$8:$D$42))+1,""),ROW()-1804)),"")</f>
        <v>https://elecciones.comunidad.madrid/es/formaciones-politicas/listado-candidaturas/partido-feminista-espana</v>
      </c>
      <c r="D1812" s="99" t="s">
        <v>174</v>
      </c>
      <c r="E1812" s="79" t="str">
        <f t="shared" si="94"/>
        <v/>
      </c>
      <c r="F1812" s="18"/>
      <c r="G1812" s="18"/>
      <c r="H1812" s="18"/>
      <c r="I1812" s="18"/>
      <c r="J1812" s="18"/>
      <c r="K1812" s="184"/>
    </row>
    <row r="1813" spans="1:11" ht="12" customHeight="1">
      <c r="A1813" s="39" cm="1">
        <f t="array" ref="A1813">IFERROR(INDEX('03.Muestra'!$B$8:$B$42,SMALL(IF("Página Web"='03.Muestra'!$D$8:$D$42,ROW('03.Muestra'!$B$8:$B$42)-MIN(ROW('03.Muestra'!$D$8:$D$42))+1,""),ROW()-1804)),"")</f>
        <v>9</v>
      </c>
      <c r="B1813" s="85" t="str" cm="1">
        <f t="array" ref="B1813">IFERROR(INDEX('03.Muestra'!$C$8:$C$42,SMALL(IF("Página Web"='03.Muestra'!$D$8:$D$42,ROW('03.Muestra'!$C$8:$C$42)-MIN(ROW('03.Muestra'!$D$8:$D$42))+1,""),ROW()-1804)),"")</f>
        <v>¿Dónde voto?</v>
      </c>
      <c r="C1813" s="85" t="str" cm="1">
        <f t="array" ref="C1813">IFERROR(INDEX('03.Muestra'!$F$8:$F$42,SMALL(IF("Página Web"='03.Muestra'!$D$8:$D$42,ROW('03.Muestra'!$F$8:$F$42)-MIN(ROW('03.Muestra'!$D$8:$D$42))+1,""),ROW()-1804)),"")</f>
        <v>https://elecciones.comunidad.madrid/es/votar/donde-voto</v>
      </c>
      <c r="D1813" s="99" t="s">
        <v>174</v>
      </c>
      <c r="E1813" s="79" t="str">
        <f t="shared" si="94"/>
        <v/>
      </c>
      <c r="F1813" s="18"/>
      <c r="G1813" s="18"/>
      <c r="H1813" s="18"/>
      <c r="I1813" s="18"/>
      <c r="J1813" s="18"/>
      <c r="K1813" s="184"/>
    </row>
    <row r="1814" spans="1:11" ht="12" customHeight="1">
      <c r="A1814" s="39" cm="1">
        <f t="array" ref="A1814">IFERROR(INDEX('03.Muestra'!$B$8:$B$42,SMALL(IF("Página Web"='03.Muestra'!$D$8:$D$42,ROW('03.Muestra'!$B$8:$B$42)-MIN(ROW('03.Muestra'!$D$8:$D$42))+1,""),ROW()-1804)),"")</f>
        <v>10</v>
      </c>
      <c r="B1814" s="85" t="str" cm="1">
        <f t="array" ref="B1814">IFERROR(INDEX('03.Muestra'!$C$8:$C$42,SMALL(IF("Página Web"='03.Muestra'!$D$8:$D$42,ROW('03.Muestra'!$C$8:$C$42)-MIN(ROW('03.Muestra'!$D$8:$D$42))+1,""),ROW()-1804)),"")</f>
        <v>Voto presencial</v>
      </c>
      <c r="C1814" s="85" t="str" cm="1">
        <f t="array" ref="C1814">IFERROR(INDEX('03.Muestra'!$F$8:$F$42,SMALL(IF("Página Web"='03.Muestra'!$D$8:$D$42,ROW('03.Muestra'!$F$8:$F$42)-MIN(ROW('03.Muestra'!$D$8:$D$42))+1,""),ROW()-1804)),"")</f>
        <v>https://elecciones.comunidad.madrid/es/voto-local-electoral/voto-presencial</v>
      </c>
      <c r="D1814" s="99" t="s">
        <v>174</v>
      </c>
      <c r="E1814" s="79" t="str">
        <f t="shared" si="94"/>
        <v/>
      </c>
      <c r="F1814" s="18"/>
      <c r="G1814" s="18"/>
      <c r="H1814" s="18"/>
      <c r="I1814" s="18"/>
      <c r="J1814" s="18"/>
      <c r="K1814" s="184"/>
    </row>
    <row r="1815" spans="1:11" ht="12" customHeight="1">
      <c r="A1815" s="39" cm="1">
        <f t="array" ref="A1815">IFERROR(INDEX('03.Muestra'!$B$8:$B$42,SMALL(IF("Página Web"='03.Muestra'!$D$8:$D$42,ROW('03.Muestra'!$B$8:$B$42)-MIN(ROW('03.Muestra'!$D$8:$D$42))+1,""),ROW()-1804)),"")</f>
        <v>11</v>
      </c>
      <c r="B1815" s="85" t="str" cm="1">
        <f t="array" ref="B1815">IFERROR(INDEX('03.Muestra'!$C$8:$C$42,SMALL(IF("Página Web"='03.Muestra'!$D$8:$D$42,ROW('03.Muestra'!$C$8:$C$42)-MIN(ROW('03.Muestra'!$D$8:$D$42))+1,""),ROW()-1804)),"")</f>
        <v>Ciudadanos temporalmente en el extranjero</v>
      </c>
      <c r="C1815" s="85" t="str" cm="1">
        <f t="array" ref="C1815">IFERROR(INDEX('03.Muestra'!$F$8:$F$42,SMALL(IF("Página Web"='03.Muestra'!$D$8:$D$42,ROW('03.Muestra'!$F$8:$F$42)-MIN(ROW('03.Muestra'!$D$8:$D$42))+1,""),ROW()-1804)),"")</f>
        <v>https://elecciones.comunidad.madrid/es/voto-correo/solicitud-voto-temporalmente-ausentes</v>
      </c>
      <c r="D1815" s="99" t="s">
        <v>174</v>
      </c>
      <c r="E1815" s="79" t="str">
        <f t="shared" si="94"/>
        <v/>
      </c>
      <c r="F1815" s="18"/>
      <c r="G1815" s="18"/>
      <c r="H1815" s="18"/>
      <c r="I1815" s="18"/>
      <c r="J1815" s="18"/>
      <c r="K1815" s="184"/>
    </row>
    <row r="1816" spans="1:11" ht="12" customHeight="1">
      <c r="A1816" s="39" cm="1">
        <f t="array" ref="A1816">IFERROR(INDEX('03.Muestra'!$B$8:$B$42,SMALL(IF("Página Web"='03.Muestra'!$D$8:$D$42,ROW('03.Muestra'!$B$8:$B$42)-MIN(ROW('03.Muestra'!$D$8:$D$42))+1,""),ROW()-1804)),"")</f>
        <v>12</v>
      </c>
      <c r="B1816" s="85" t="str" cm="1">
        <f t="array" ref="B1816">IFERROR(INDEX('03.Muestra'!$C$8:$C$42,SMALL(IF("Página Web"='03.Muestra'!$D$8:$D$42,ROW('03.Muestra'!$C$8:$C$42)-MIN(ROW('03.Muestra'!$D$8:$D$42))+1,""),ROW()-1804)),"")</f>
        <v>Nuevo votante</v>
      </c>
      <c r="C1816" s="85" t="str" cm="1">
        <f t="array" ref="C1816">IFERROR(INDEX('03.Muestra'!$F$8:$F$42,SMALL(IF("Página Web"='03.Muestra'!$D$8:$D$42,ROW('03.Muestra'!$F$8:$F$42)-MIN(ROW('03.Muestra'!$D$8:$D$42))+1,""),ROW()-1804)),"")</f>
        <v>https://elecciones.comunidad.madrid/es/votar/nuevo-votante</v>
      </c>
      <c r="D1816" s="99" t="s">
        <v>174</v>
      </c>
      <c r="E1816" s="79" t="str">
        <f t="shared" si="94"/>
        <v/>
      </c>
      <c r="F1816" s="18"/>
      <c r="G1816" s="18"/>
      <c r="H1816" s="18"/>
      <c r="I1816" s="18"/>
      <c r="J1816" s="18"/>
      <c r="K1816" s="184"/>
    </row>
    <row r="1817" spans="1:11" ht="12" customHeight="1">
      <c r="A1817" s="39" cm="1">
        <f t="array" ref="A1817">IFERROR(INDEX('03.Muestra'!$B$8:$B$42,SMALL(IF("Página Web"='03.Muestra'!$D$8:$D$42,ROW('03.Muestra'!$B$8:$B$42)-MIN(ROW('03.Muestra'!$D$8:$D$42))+1,""),ROW()-1804)),"")</f>
        <v>13</v>
      </c>
      <c r="B1817" s="85" t="str" cm="1">
        <f t="array" ref="B1817">IFERROR(INDEX('03.Muestra'!$C$8:$C$42,SMALL(IF("Página Web"='03.Muestra'!$D$8:$D$42,ROW('03.Muestra'!$C$8:$C$42)-MIN(ROW('03.Muestra'!$D$8:$D$42))+1,""),ROW()-1804)),"")</f>
        <v>Simulación método D'Hondt</v>
      </c>
      <c r="C1817" s="85" t="str" cm="1">
        <f t="array" ref="C1817">IFERROR(INDEX('03.Muestra'!$F$8:$F$42,SMALL(IF("Página Web"='03.Muestra'!$D$8:$D$42,ROW('03.Muestra'!$F$8:$F$42)-MIN(ROW('03.Muestra'!$D$8:$D$42))+1,""),ROW()-1804)),"")</f>
        <v>https://elecciones.comunidad.madrid/es/informacion-util/simulacion-metodo-dhondt</v>
      </c>
      <c r="D1817" s="99" t="s">
        <v>174</v>
      </c>
      <c r="E1817" s="79" t="str">
        <f t="shared" si="94"/>
        <v/>
      </c>
      <c r="F1817" s="18"/>
      <c r="G1817" s="18"/>
      <c r="H1817" s="18"/>
      <c r="I1817" s="18"/>
      <c r="J1817" s="18"/>
      <c r="K1817" s="184"/>
    </row>
    <row r="1818" spans="1:11" ht="12" customHeight="1">
      <c r="A1818" s="39" cm="1">
        <f t="array" ref="A1818">IFERROR(INDEX('03.Muestra'!$B$8:$B$42,SMALL(IF("Página Web"='03.Muestra'!$D$8:$D$42,ROW('03.Muestra'!$B$8:$B$42)-MIN(ROW('03.Muestra'!$D$8:$D$42))+1,""),ROW()-1804)),"")</f>
        <v>14</v>
      </c>
      <c r="B1818" s="85" t="str" cm="1">
        <f t="array" ref="B1818">IFERROR(INDEX('03.Muestra'!$C$8:$C$42,SMALL(IF("Página Web"='03.Muestra'!$D$8:$D$42,ROW('03.Muestra'!$C$8:$C$42)-MIN(ROW('03.Muestra'!$D$8:$D$42))+1,""),ROW()-1804)),"")</f>
        <v>Ley D'Hondt</v>
      </c>
      <c r="C1818" s="85" t="str" cm="1">
        <f t="array" ref="C1818">IFERROR(INDEX('03.Muestra'!$F$8:$F$42,SMALL(IF("Página Web"='03.Muestra'!$D$8:$D$42,ROW('03.Muestra'!$F$8:$F$42)-MIN(ROW('03.Muestra'!$D$8:$D$42))+1,""),ROW()-1804)),"")</f>
        <v>https://elecciones.comunidad.madrid/es/resultados/ley_d_hondt</v>
      </c>
      <c r="D1818" s="99" t="s">
        <v>174</v>
      </c>
      <c r="E1818" s="79" t="str">
        <f t="shared" si="94"/>
        <v/>
      </c>
      <c r="F1818" s="18"/>
      <c r="G1818" s="18"/>
      <c r="H1818" s="18"/>
      <c r="I1818" s="18"/>
      <c r="J1818" s="18"/>
      <c r="K1818" s="184"/>
    </row>
    <row r="1819" spans="1:11" ht="12" customHeight="1">
      <c r="A1819" s="39" cm="1">
        <f t="array" ref="A1819">IFERROR(INDEX('03.Muestra'!$B$8:$B$42,SMALL(IF("Página Web"='03.Muestra'!$D$8:$D$42,ROW('03.Muestra'!$B$8:$B$42)-MIN(ROW('03.Muestra'!$D$8:$D$42))+1,""),ROW()-1804)),"")</f>
        <v>15</v>
      </c>
      <c r="B1819" s="85" t="str" cm="1">
        <f t="array" ref="B1819">IFERROR(INDEX('03.Muestra'!$C$8:$C$42,SMALL(IF("Página Web"='03.Muestra'!$D$8:$D$42,ROW('03.Muestra'!$C$8:$C$42)-MIN(ROW('03.Muestra'!$D$8:$D$42))+1,""),ROW()-1804)),"")</f>
        <v>Voto por correo elector CERA en España</v>
      </c>
      <c r="C1819" s="85" t="str" cm="1">
        <f t="array" ref="C1819">IFERROR(INDEX('03.Muestra'!$F$8:$F$42,SMALL(IF("Página Web"='03.Muestra'!$D$8:$D$42,ROW('03.Muestra'!$F$8:$F$42)-MIN(ROW('03.Muestra'!$D$8:$D$42))+1,""),ROW()-1804)),"")</f>
        <v>https://elecciones.comunidad.madrid/es/preguntas-frecuentes/voto-correo-electores-residentes-extranjero</v>
      </c>
      <c r="D1819" s="99" t="s">
        <v>174</v>
      </c>
      <c r="E1819" s="79" t="str">
        <f t="shared" si="94"/>
        <v/>
      </c>
      <c r="F1819" s="18"/>
      <c r="G1819" s="18"/>
      <c r="H1819" s="18"/>
      <c r="I1819" s="18"/>
      <c r="J1819" s="18"/>
      <c r="K1819" s="184"/>
    </row>
    <row r="1820" spans="1:11" ht="12" customHeight="1">
      <c r="A1820" s="39" cm="1">
        <f t="array" ref="A1820">IFERROR(INDEX('03.Muestra'!$B$8:$B$42,SMALL(IF("Página Web"='03.Muestra'!$D$8:$D$42,ROW('03.Muestra'!$B$8:$B$42)-MIN(ROW('03.Muestra'!$D$8:$D$42))+1,""),ROW()-1804)),"")</f>
        <v>16</v>
      </c>
      <c r="B1820" s="85" t="str" cm="1">
        <f t="array" ref="B1820">IFERROR(INDEX('03.Muestra'!$C$8:$C$42,SMALL(IF("Página Web"='03.Muestra'!$D$8:$D$42,ROW('03.Muestra'!$C$8:$C$42)-MIN(ROW('03.Muestra'!$D$8:$D$42))+1,""),ROW()-1804)),"")</f>
        <v>Contacto</v>
      </c>
      <c r="C1820" s="85" t="str" cm="1">
        <f t="array" ref="C1820">IFERROR(INDEX('03.Muestra'!$F$8:$F$42,SMALL(IF("Página Web"='03.Muestra'!$D$8:$D$42,ROW('03.Muestra'!$F$8:$F$42)-MIN(ROW('03.Muestra'!$D$8:$D$42))+1,""),ROW()-1804)),"")</f>
        <v>https://elecciones.comunidad.madrid/es/buzon-de-sugerencias</v>
      </c>
      <c r="D1820" s="99" t="s">
        <v>174</v>
      </c>
      <c r="E1820" s="79" t="str">
        <f t="shared" si="94"/>
        <v/>
      </c>
      <c r="F1820" s="18"/>
      <c r="G1820" s="18"/>
      <c r="H1820" s="18"/>
      <c r="I1820" s="18"/>
      <c r="J1820" s="18"/>
      <c r="K1820" s="184"/>
    </row>
    <row r="1821" spans="1:11" ht="12" customHeight="1">
      <c r="A1821" s="39" cm="1">
        <f t="array" ref="A1821">IFERROR(INDEX('03.Muestra'!$B$8:$B$42,SMALL(IF("Página Web"='03.Muestra'!$D$8:$D$42,ROW('03.Muestra'!$B$8:$B$42)-MIN(ROW('03.Muestra'!$D$8:$D$42))+1,""),ROW()-1804)),"")</f>
        <v>17</v>
      </c>
      <c r="B1821" s="85" t="str" cm="1">
        <f t="array" ref="B1821">IFERROR(INDEX('03.Muestra'!$C$8:$C$42,SMALL(IF("Página Web"='03.Muestra'!$D$8:$D$42,ROW('03.Muestra'!$C$8:$C$42)-MIN(ROW('03.Muestra'!$D$8:$D$42))+1,""),ROW()-1804)),"")</f>
        <v>Buscador</v>
      </c>
      <c r="C1821" s="85" t="str" cm="1">
        <f t="array" ref="C1821">IFERROR(INDEX('03.Muestra'!$F$8:$F$42,SMALL(IF("Página Web"='03.Muestra'!$D$8:$D$42,ROW('03.Muestra'!$F$8:$F$42)-MIN(ROW('03.Muestra'!$D$8:$D$42))+1,""),ROW()-1804)),"")</f>
        <v>https://elecciones.comunidad.madrid/es/search?search_api_fulltext=partido</v>
      </c>
      <c r="D1821" s="99" t="s">
        <v>174</v>
      </c>
      <c r="E1821" s="79" t="str">
        <f t="shared" si="94"/>
        <v/>
      </c>
      <c r="F1821" s="18"/>
      <c r="G1821" s="18"/>
      <c r="H1821" s="18"/>
      <c r="I1821" s="18"/>
      <c r="J1821" s="18"/>
      <c r="K1821" s="184"/>
    </row>
    <row r="1822" spans="1:11" ht="12" customHeight="1">
      <c r="A1822" s="39" cm="1">
        <f t="array" ref="A1822">IFERROR(INDEX('03.Muestra'!$B$8:$B$42,SMALL(IF("Página Web"='03.Muestra'!$D$8:$D$42,ROW('03.Muestra'!$B$8:$B$42)-MIN(ROW('03.Muestra'!$D$8:$D$42))+1,""),ROW()-1804)),"")</f>
        <v>18</v>
      </c>
      <c r="B1822" s="85" t="str" cm="1">
        <f t="array" ref="B1822">IFERROR(INDEX('03.Muestra'!$C$8:$C$42,SMALL(IF("Página Web"='03.Muestra'!$D$8:$D$42,ROW('03.Muestra'!$C$8:$C$42)-MIN(ROW('03.Muestra'!$D$8:$D$42))+1,""),ROW()-1804)),"")</f>
        <v>Aviso Legal-Privacidad</v>
      </c>
      <c r="C1822" s="85" t="str" cm="1">
        <f t="array" ref="C1822">IFERROR(INDEX('03.Muestra'!$F$8:$F$42,SMALL(IF("Página Web"='03.Muestra'!$D$8:$D$42,ROW('03.Muestra'!$F$8:$F$42)-MIN(ROW('03.Muestra'!$D$8:$D$42))+1,""),ROW()-1804)),"")</f>
        <v>https://elecciones.comunidad.madrid/es/aviso-legal</v>
      </c>
      <c r="D1822" s="99" t="s">
        <v>174</v>
      </c>
      <c r="E1822" s="79" t="str">
        <f t="shared" si="94"/>
        <v/>
      </c>
      <c r="F1822" s="18"/>
      <c r="G1822" s="18"/>
      <c r="H1822" s="18"/>
      <c r="I1822" s="18"/>
      <c r="J1822" s="18"/>
      <c r="K1822" s="184"/>
    </row>
    <row r="1823" spans="1:11" ht="12" customHeight="1">
      <c r="A1823" s="39" cm="1">
        <f t="array" ref="A1823">IFERROR(INDEX('03.Muestra'!$B$8:$B$42,SMALL(IF("Página Web"='03.Muestra'!$D$8:$D$42,ROW('03.Muestra'!$B$8:$B$42)-MIN(ROW('03.Muestra'!$D$8:$D$42))+1,""),ROW()-1804)),"")</f>
        <v>19</v>
      </c>
      <c r="B1823" s="85" t="str" cm="1">
        <f t="array" ref="B1823">IFERROR(INDEX('03.Muestra'!$C$8:$C$42,SMALL(IF("Página Web"='03.Muestra'!$D$8:$D$42,ROW('03.Muestra'!$C$8:$C$42)-MIN(ROW('03.Muestra'!$D$8:$D$42))+1,""),ROW()-1804)),"")</f>
        <v>Mapa Web</v>
      </c>
      <c r="C1823" s="85" t="str" cm="1">
        <f t="array" ref="C1823">IFERROR(INDEX('03.Muestra'!$F$8:$F$42,SMALL(IF("Página Web"='03.Muestra'!$D$8:$D$42,ROW('03.Muestra'!$F$8:$F$42)-MIN(ROW('03.Muestra'!$D$8:$D$42))+1,""),ROW()-1804)),"")</f>
        <v>https://elecciones.comunidad.madrid/es/sitemap</v>
      </c>
      <c r="D1823" s="99" t="s">
        <v>174</v>
      </c>
      <c r="E1823" s="79" t="str">
        <f t="shared" si="94"/>
        <v/>
      </c>
      <c r="F1823" s="18"/>
      <c r="G1823" s="18"/>
      <c r="H1823" s="18"/>
      <c r="I1823" s="18"/>
      <c r="J1823" s="18"/>
      <c r="K1823" s="184"/>
    </row>
    <row r="1824" spans="1:11" ht="12" customHeight="1">
      <c r="A1824" s="39" cm="1">
        <f t="array" ref="A1824">IFERROR(INDEX('03.Muestra'!$B$8:$B$42,SMALL(IF("Página Web"='03.Muestra'!$D$8:$D$42,ROW('03.Muestra'!$B$8:$B$42)-MIN(ROW('03.Muestra'!$D$8:$D$42))+1,""),ROW()-1804)),"")</f>
        <v>20</v>
      </c>
      <c r="B1824" s="85" t="str" cm="1">
        <f t="array" ref="B1824">IFERROR(INDEX('03.Muestra'!$C$8:$C$42,SMALL(IF("Página Web"='03.Muestra'!$D$8:$D$42,ROW('03.Muestra'!$C$8:$C$42)-MIN(ROW('03.Muestra'!$D$8:$D$42))+1,""),ROW()-1804)),"")</f>
        <v>Declaracion Accesibilidad</v>
      </c>
      <c r="C1824" s="85" t="str" cm="1">
        <f t="array" ref="C1824">IFERROR(INDEX('03.Muestra'!$F$8:$F$42,SMALL(IF("Página Web"='03.Muestra'!$D$8:$D$42,ROW('03.Muestra'!$F$8:$F$42)-MIN(ROW('03.Muestra'!$D$8:$D$42))+1,""),ROW()-1804)),"")</f>
        <v>https://elecciones.comunidad.madrid/es/accesibilidad</v>
      </c>
      <c r="D1824" s="99" t="s">
        <v>174</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ref="D1825:D1839" si="95">IF(AND(B1825&lt;&gt;"",C1825&lt;&gt;""),"N/T","")</f>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181</v>
      </c>
      <c r="B1842" s="23" t="s">
        <v>173</v>
      </c>
      <c r="C1842" s="24" t="s">
        <v>272</v>
      </c>
      <c r="D1842" s="25" t="s">
        <v>183</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Inicio</v>
      </c>
      <c r="C1843" s="85" t="str" cm="1">
        <f t="array" ref="C1843">IFERROR(INDEX('03.Muestra'!$F$8:$F$42,SMALL(IF("Página Web"='03.Muestra'!$D$8:$D$42,ROW('03.Muestra'!$F$8:$F$42)-MIN(ROW('03.Muestra'!$D$8:$D$42))+1,""),ROW()-1842)),"")</f>
        <v>https://elecciones.comunidad.madrid/es</v>
      </c>
      <c r="D1843" s="99" t="s">
        <v>184</v>
      </c>
      <c r="E1843" s="79" t="str">
        <f t="shared" ref="E1843:E1877" si="96">IF(D1843&lt;&gt;"",IF(AND(B1843&lt;&gt;"",C1843&lt;&gt;""),"","ERR"),"")</f>
        <v/>
      </c>
      <c r="F1843" s="86" t="s">
        <v>185</v>
      </c>
      <c r="G1843" s="87" t="s">
        <v>186</v>
      </c>
      <c r="H1843" s="88" t="s">
        <v>184</v>
      </c>
      <c r="I1843" s="89" t="s">
        <v>176</v>
      </c>
      <c r="J1843" s="90" t="s">
        <v>174</v>
      </c>
      <c r="K1843" s="179" t="s">
        <v>180</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Resultado Elecciones 28M 2023</v>
      </c>
      <c r="C1844" s="85" t="str" cm="1">
        <f t="array" ref="C1844">IFERROR(INDEX('03.Muestra'!$F$8:$F$42,SMALL(IF("Página Web"='03.Muestra'!$D$8:$D$42,ROW('03.Muestra'!$F$8:$F$42)-MIN(ROW('03.Muestra'!$D$8:$D$42))+1,""),ROW()-1842)),"")</f>
        <v>https://elecciones.comunidad.madrid/es/resultados-elecciones-asamblea-madrid-28m-2023</v>
      </c>
      <c r="D1844" s="99" t="s">
        <v>184</v>
      </c>
      <c r="E1844" s="79" t="str">
        <f t="shared" si="96"/>
        <v/>
      </c>
      <c r="F1844" s="91">
        <f ca="1">COUNTIF($D1843:INDIRECT("$D" &amp;  SUM(ROW()-1,'03.Muestra'!$D$45)-1),F1843)</f>
        <v>0</v>
      </c>
      <c r="G1844" s="91">
        <f ca="1">COUNTIF($D1843:INDIRECT("$D" &amp;  SUM(ROW()-1,'03.Muestra'!$D$45)-1),G1843)</f>
        <v>0</v>
      </c>
      <c r="H1844" s="91">
        <f ca="1">COUNTIF($D1843:INDIRECT("$D" &amp;  SUM(ROW()-1,'03.Muestra'!$D$45)-1),H1843)</f>
        <v>20</v>
      </c>
      <c r="I1844" s="91">
        <f ca="1">COUNTIF($D1843:INDIRECT("$D" &amp;  SUM(ROW()-1,'03.Muestra'!$D$45)-1),I1843)</f>
        <v>0</v>
      </c>
      <c r="J1844" s="91">
        <f ca="1">COUNTIF($D1843:INDIRECT("$D" &amp;  SUM(ROW()-1,'03.Muestra'!$D$45)-1),J1843)</f>
        <v>0</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Normativa electoral</v>
      </c>
      <c r="C1845" s="85" t="str" cm="1">
        <f t="array" ref="C1845">IFERROR(INDEX('03.Muestra'!$F$8:$F$42,SMALL(IF("Página Web"='03.Muestra'!$D$8:$D$42,ROW('03.Muestra'!$F$8:$F$42)-MIN(ROW('03.Muestra'!$D$8:$D$42))+1,""),ROW()-1842)),"")</f>
        <v>https://elecciones.comunidad.madrid/es/informacion-electoral/normativa-electoral</v>
      </c>
      <c r="D1845" s="99" t="s">
        <v>184</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Calendario electoral</v>
      </c>
      <c r="C1846" s="85" t="str" cm="1">
        <f t="array" ref="C1846">IFERROR(INDEX('03.Muestra'!$F$8:$F$42,SMALL(IF("Página Web"='03.Muestra'!$D$8:$D$42,ROW('03.Muestra'!$F$8:$F$42)-MIN(ROW('03.Muestra'!$D$8:$D$42))+1,""),ROW()-1842)),"")</f>
        <v>https://elecciones.comunidad.madrid/es/informacion-electoral/calendario-electoral</v>
      </c>
      <c r="D1846" s="99" t="s">
        <v>184</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Direcciones y teléfonos</v>
      </c>
      <c r="C1847" s="85" t="str" cm="1">
        <f t="array" ref="C1847">IFERROR(INDEX('03.Muestra'!$F$8:$F$42,SMALL(IF("Página Web"='03.Muestra'!$D$8:$D$42,ROW('03.Muestra'!$F$8:$F$42)-MIN(ROW('03.Muestra'!$D$8:$D$42))+1,""),ROW()-1842)),"")</f>
        <v>https://elecciones.comunidad.madrid/es/juntas-electorales/direcciones-telefonos</v>
      </c>
      <c r="D1847" s="99" t="s">
        <v>184</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Impresos electrónicos</v>
      </c>
      <c r="C1848" s="85" t="str" cm="1">
        <f t="array" ref="C1848">IFERROR(INDEX('03.Muestra'!$F$8:$F$42,SMALL(IF("Página Web"='03.Muestra'!$D$8:$D$42,ROW('03.Muestra'!$F$8:$F$42)-MIN(ROW('03.Muestra'!$D$8:$D$42))+1,""),ROW()-1842)),"")</f>
        <v>https://elecciones.comunidad.madrid/es/formaciones-politicas/impresos-electronicos</v>
      </c>
      <c r="D1848" s="99" t="s">
        <v>184</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Listado de candidaturas</v>
      </c>
      <c r="C1849" s="85" t="str" cm="1">
        <f t="array" ref="C1849">IFERROR(INDEX('03.Muestra'!$F$8:$F$42,SMALL(IF("Página Web"='03.Muestra'!$D$8:$D$42,ROW('03.Muestra'!$F$8:$F$42)-MIN(ROW('03.Muestra'!$D$8:$D$42))+1,""),ROW()-1842)),"")</f>
        <v>https://elecciones.comunidad.madrid/es/formaciones-politicas/listado-candidaturas-proclamadas</v>
      </c>
      <c r="D1849" s="99" t="s">
        <v>184</v>
      </c>
      <c r="E1849" s="79" t="str">
        <f t="shared" si="96"/>
        <v/>
      </c>
      <c r="F1849" s="18"/>
      <c r="G1849" s="18"/>
      <c r="H1849" s="18"/>
      <c r="I1849" s="18"/>
      <c r="J1849" s="18"/>
      <c r="K1849" s="184"/>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Partido Feminista de España</v>
      </c>
      <c r="C1850" s="85" t="str" cm="1">
        <f t="array" ref="C1850">IFERROR(INDEX('03.Muestra'!$F$8:$F$42,SMALL(IF("Página Web"='03.Muestra'!$D$8:$D$42,ROW('03.Muestra'!$F$8:$F$42)-MIN(ROW('03.Muestra'!$D$8:$D$42))+1,""),ROW()-1842)),"")</f>
        <v>https://elecciones.comunidad.madrid/es/formaciones-politicas/listado-candidaturas/partido-feminista-espana</v>
      </c>
      <c r="D1850" s="99" t="s">
        <v>184</v>
      </c>
      <c r="E1850" s="79" t="str">
        <f t="shared" si="96"/>
        <v/>
      </c>
      <c r="F1850" s="18"/>
      <c r="G1850" s="18"/>
      <c r="H1850" s="18"/>
      <c r="I1850" s="18"/>
      <c r="J1850" s="18"/>
      <c r="K1850" s="184"/>
    </row>
    <row r="1851" spans="1:11" ht="12" customHeight="1">
      <c r="A1851" s="39" cm="1">
        <f t="array" ref="A1851">IFERROR(INDEX('03.Muestra'!$B$8:$B$42,SMALL(IF("Página Web"='03.Muestra'!$D$8:$D$42,ROW('03.Muestra'!$B$8:$B$42)-MIN(ROW('03.Muestra'!$D$8:$D$42))+1,""),ROW()-1842)),"")</f>
        <v>9</v>
      </c>
      <c r="B1851" s="85" t="str" cm="1">
        <f t="array" ref="B1851">IFERROR(INDEX('03.Muestra'!$C$8:$C$42,SMALL(IF("Página Web"='03.Muestra'!$D$8:$D$42,ROW('03.Muestra'!$C$8:$C$42)-MIN(ROW('03.Muestra'!$D$8:$D$42))+1,""),ROW()-1842)),"")</f>
        <v>¿Dónde voto?</v>
      </c>
      <c r="C1851" s="85" t="str" cm="1">
        <f t="array" ref="C1851">IFERROR(INDEX('03.Muestra'!$F$8:$F$42,SMALL(IF("Página Web"='03.Muestra'!$D$8:$D$42,ROW('03.Muestra'!$F$8:$F$42)-MIN(ROW('03.Muestra'!$D$8:$D$42))+1,""),ROW()-1842)),"")</f>
        <v>https://elecciones.comunidad.madrid/es/votar/donde-voto</v>
      </c>
      <c r="D1851" s="99" t="s">
        <v>184</v>
      </c>
      <c r="E1851" s="79" t="str">
        <f t="shared" si="96"/>
        <v/>
      </c>
      <c r="F1851" s="18"/>
      <c r="G1851" s="18"/>
      <c r="H1851" s="18"/>
      <c r="I1851" s="18"/>
      <c r="J1851" s="18"/>
      <c r="K1851" s="184"/>
    </row>
    <row r="1852" spans="1:11" ht="12" customHeight="1">
      <c r="A1852" s="39" cm="1">
        <f t="array" ref="A1852">IFERROR(INDEX('03.Muestra'!$B$8:$B$42,SMALL(IF("Página Web"='03.Muestra'!$D$8:$D$42,ROW('03.Muestra'!$B$8:$B$42)-MIN(ROW('03.Muestra'!$D$8:$D$42))+1,""),ROW()-1842)),"")</f>
        <v>10</v>
      </c>
      <c r="B1852" s="85" t="str" cm="1">
        <f t="array" ref="B1852">IFERROR(INDEX('03.Muestra'!$C$8:$C$42,SMALL(IF("Página Web"='03.Muestra'!$D$8:$D$42,ROW('03.Muestra'!$C$8:$C$42)-MIN(ROW('03.Muestra'!$D$8:$D$42))+1,""),ROW()-1842)),"")</f>
        <v>Voto presencial</v>
      </c>
      <c r="C1852" s="85" t="str" cm="1">
        <f t="array" ref="C1852">IFERROR(INDEX('03.Muestra'!$F$8:$F$42,SMALL(IF("Página Web"='03.Muestra'!$D$8:$D$42,ROW('03.Muestra'!$F$8:$F$42)-MIN(ROW('03.Muestra'!$D$8:$D$42))+1,""),ROW()-1842)),"")</f>
        <v>https://elecciones.comunidad.madrid/es/voto-local-electoral/voto-presencial</v>
      </c>
      <c r="D1852" s="99" t="s">
        <v>184</v>
      </c>
      <c r="E1852" s="79" t="str">
        <f t="shared" si="96"/>
        <v/>
      </c>
      <c r="F1852" s="18"/>
      <c r="G1852" s="18"/>
      <c r="H1852" s="18"/>
      <c r="I1852" s="18"/>
      <c r="J1852" s="18"/>
      <c r="K1852" s="184"/>
    </row>
    <row r="1853" spans="1:11" ht="12" customHeight="1">
      <c r="A1853" s="39" cm="1">
        <f t="array" ref="A1853">IFERROR(INDEX('03.Muestra'!$B$8:$B$42,SMALL(IF("Página Web"='03.Muestra'!$D$8:$D$42,ROW('03.Muestra'!$B$8:$B$42)-MIN(ROW('03.Muestra'!$D$8:$D$42))+1,""),ROW()-1842)),"")</f>
        <v>11</v>
      </c>
      <c r="B1853" s="85" t="str" cm="1">
        <f t="array" ref="B1853">IFERROR(INDEX('03.Muestra'!$C$8:$C$42,SMALL(IF("Página Web"='03.Muestra'!$D$8:$D$42,ROW('03.Muestra'!$C$8:$C$42)-MIN(ROW('03.Muestra'!$D$8:$D$42))+1,""),ROW()-1842)),"")</f>
        <v>Ciudadanos temporalmente en el extranjero</v>
      </c>
      <c r="C1853" s="85" t="str" cm="1">
        <f t="array" ref="C1853">IFERROR(INDEX('03.Muestra'!$F$8:$F$42,SMALL(IF("Página Web"='03.Muestra'!$D$8:$D$42,ROW('03.Muestra'!$F$8:$F$42)-MIN(ROW('03.Muestra'!$D$8:$D$42))+1,""),ROW()-1842)),"")</f>
        <v>https://elecciones.comunidad.madrid/es/voto-correo/solicitud-voto-temporalmente-ausentes</v>
      </c>
      <c r="D1853" s="99" t="s">
        <v>184</v>
      </c>
      <c r="E1853" s="79" t="str">
        <f t="shared" si="96"/>
        <v/>
      </c>
      <c r="F1853" s="18"/>
      <c r="G1853" s="18"/>
      <c r="H1853" s="18"/>
      <c r="I1853" s="18"/>
      <c r="J1853" s="18"/>
      <c r="K1853" s="184"/>
    </row>
    <row r="1854" spans="1:11" ht="12" customHeight="1">
      <c r="A1854" s="39" cm="1">
        <f t="array" ref="A1854">IFERROR(INDEX('03.Muestra'!$B$8:$B$42,SMALL(IF("Página Web"='03.Muestra'!$D$8:$D$42,ROW('03.Muestra'!$B$8:$B$42)-MIN(ROW('03.Muestra'!$D$8:$D$42))+1,""),ROW()-1842)),"")</f>
        <v>12</v>
      </c>
      <c r="B1854" s="85" t="str" cm="1">
        <f t="array" ref="B1854">IFERROR(INDEX('03.Muestra'!$C$8:$C$42,SMALL(IF("Página Web"='03.Muestra'!$D$8:$D$42,ROW('03.Muestra'!$C$8:$C$42)-MIN(ROW('03.Muestra'!$D$8:$D$42))+1,""),ROW()-1842)),"")</f>
        <v>Nuevo votante</v>
      </c>
      <c r="C1854" s="85" t="str" cm="1">
        <f t="array" ref="C1854">IFERROR(INDEX('03.Muestra'!$F$8:$F$42,SMALL(IF("Página Web"='03.Muestra'!$D$8:$D$42,ROW('03.Muestra'!$F$8:$F$42)-MIN(ROW('03.Muestra'!$D$8:$D$42))+1,""),ROW()-1842)),"")</f>
        <v>https://elecciones.comunidad.madrid/es/votar/nuevo-votante</v>
      </c>
      <c r="D1854" s="99" t="s">
        <v>184</v>
      </c>
      <c r="E1854" s="79" t="str">
        <f t="shared" si="96"/>
        <v/>
      </c>
      <c r="F1854" s="18"/>
      <c r="G1854" s="18"/>
      <c r="H1854" s="18"/>
      <c r="I1854" s="18"/>
      <c r="J1854" s="18"/>
      <c r="K1854" s="184"/>
    </row>
    <row r="1855" spans="1:11" ht="12" customHeight="1">
      <c r="A1855" s="39" cm="1">
        <f t="array" ref="A1855">IFERROR(INDEX('03.Muestra'!$B$8:$B$42,SMALL(IF("Página Web"='03.Muestra'!$D$8:$D$42,ROW('03.Muestra'!$B$8:$B$42)-MIN(ROW('03.Muestra'!$D$8:$D$42))+1,""),ROW()-1842)),"")</f>
        <v>13</v>
      </c>
      <c r="B1855" s="85" t="str" cm="1">
        <f t="array" ref="B1855">IFERROR(INDEX('03.Muestra'!$C$8:$C$42,SMALL(IF("Página Web"='03.Muestra'!$D$8:$D$42,ROW('03.Muestra'!$C$8:$C$42)-MIN(ROW('03.Muestra'!$D$8:$D$42))+1,""),ROW()-1842)),"")</f>
        <v>Simulación método D'Hondt</v>
      </c>
      <c r="C1855" s="85" t="str" cm="1">
        <f t="array" ref="C1855">IFERROR(INDEX('03.Muestra'!$F$8:$F$42,SMALL(IF("Página Web"='03.Muestra'!$D$8:$D$42,ROW('03.Muestra'!$F$8:$F$42)-MIN(ROW('03.Muestra'!$D$8:$D$42))+1,""),ROW()-1842)),"")</f>
        <v>https://elecciones.comunidad.madrid/es/informacion-util/simulacion-metodo-dhondt</v>
      </c>
      <c r="D1855" s="99" t="s">
        <v>184</v>
      </c>
      <c r="E1855" s="79" t="str">
        <f t="shared" si="96"/>
        <v/>
      </c>
      <c r="F1855" s="18"/>
      <c r="G1855" s="18"/>
      <c r="H1855" s="18"/>
      <c r="I1855" s="18"/>
      <c r="J1855" s="18"/>
      <c r="K1855" s="184"/>
    </row>
    <row r="1856" spans="1:11" ht="12" customHeight="1">
      <c r="A1856" s="39" cm="1">
        <f t="array" ref="A1856">IFERROR(INDEX('03.Muestra'!$B$8:$B$42,SMALL(IF("Página Web"='03.Muestra'!$D$8:$D$42,ROW('03.Muestra'!$B$8:$B$42)-MIN(ROW('03.Muestra'!$D$8:$D$42))+1,""),ROW()-1842)),"")</f>
        <v>14</v>
      </c>
      <c r="B1856" s="85" t="str" cm="1">
        <f t="array" ref="B1856">IFERROR(INDEX('03.Muestra'!$C$8:$C$42,SMALL(IF("Página Web"='03.Muestra'!$D$8:$D$42,ROW('03.Muestra'!$C$8:$C$42)-MIN(ROW('03.Muestra'!$D$8:$D$42))+1,""),ROW()-1842)),"")</f>
        <v>Ley D'Hondt</v>
      </c>
      <c r="C1856" s="85" t="str" cm="1">
        <f t="array" ref="C1856">IFERROR(INDEX('03.Muestra'!$F$8:$F$42,SMALL(IF("Página Web"='03.Muestra'!$D$8:$D$42,ROW('03.Muestra'!$F$8:$F$42)-MIN(ROW('03.Muestra'!$D$8:$D$42))+1,""),ROW()-1842)),"")</f>
        <v>https://elecciones.comunidad.madrid/es/resultados/ley_d_hondt</v>
      </c>
      <c r="D1856" s="99" t="s">
        <v>184</v>
      </c>
      <c r="E1856" s="79" t="str">
        <f t="shared" si="96"/>
        <v/>
      </c>
      <c r="F1856" s="18"/>
      <c r="G1856" s="18"/>
      <c r="H1856" s="18"/>
      <c r="I1856" s="18"/>
      <c r="J1856" s="18"/>
      <c r="K1856" s="184"/>
    </row>
    <row r="1857" spans="1:11" ht="12" customHeight="1">
      <c r="A1857" s="39" cm="1">
        <f t="array" ref="A1857">IFERROR(INDEX('03.Muestra'!$B$8:$B$42,SMALL(IF("Página Web"='03.Muestra'!$D$8:$D$42,ROW('03.Muestra'!$B$8:$B$42)-MIN(ROW('03.Muestra'!$D$8:$D$42))+1,""),ROW()-1842)),"")</f>
        <v>15</v>
      </c>
      <c r="B1857" s="85" t="str" cm="1">
        <f t="array" ref="B1857">IFERROR(INDEX('03.Muestra'!$C$8:$C$42,SMALL(IF("Página Web"='03.Muestra'!$D$8:$D$42,ROW('03.Muestra'!$C$8:$C$42)-MIN(ROW('03.Muestra'!$D$8:$D$42))+1,""),ROW()-1842)),"")</f>
        <v>Voto por correo elector CERA en España</v>
      </c>
      <c r="C1857" s="85" t="str" cm="1">
        <f t="array" ref="C1857">IFERROR(INDEX('03.Muestra'!$F$8:$F$42,SMALL(IF("Página Web"='03.Muestra'!$D$8:$D$42,ROW('03.Muestra'!$F$8:$F$42)-MIN(ROW('03.Muestra'!$D$8:$D$42))+1,""),ROW()-1842)),"")</f>
        <v>https://elecciones.comunidad.madrid/es/preguntas-frecuentes/voto-correo-electores-residentes-extranjero</v>
      </c>
      <c r="D1857" s="99" t="s">
        <v>184</v>
      </c>
      <c r="E1857" s="79" t="str">
        <f t="shared" si="96"/>
        <v/>
      </c>
      <c r="F1857" s="18"/>
      <c r="G1857" s="18"/>
      <c r="H1857" s="18"/>
      <c r="I1857" s="18"/>
      <c r="J1857" s="18"/>
      <c r="K1857" s="184"/>
    </row>
    <row r="1858" spans="1:11" ht="12" customHeight="1">
      <c r="A1858" s="39" cm="1">
        <f t="array" ref="A1858">IFERROR(INDEX('03.Muestra'!$B$8:$B$42,SMALL(IF("Página Web"='03.Muestra'!$D$8:$D$42,ROW('03.Muestra'!$B$8:$B$42)-MIN(ROW('03.Muestra'!$D$8:$D$42))+1,""),ROW()-1842)),"")</f>
        <v>16</v>
      </c>
      <c r="B1858" s="85" t="str" cm="1">
        <f t="array" ref="B1858">IFERROR(INDEX('03.Muestra'!$C$8:$C$42,SMALL(IF("Página Web"='03.Muestra'!$D$8:$D$42,ROW('03.Muestra'!$C$8:$C$42)-MIN(ROW('03.Muestra'!$D$8:$D$42))+1,""),ROW()-1842)),"")</f>
        <v>Contacto</v>
      </c>
      <c r="C1858" s="85" t="str" cm="1">
        <f t="array" ref="C1858">IFERROR(INDEX('03.Muestra'!$F$8:$F$42,SMALL(IF("Página Web"='03.Muestra'!$D$8:$D$42,ROW('03.Muestra'!$F$8:$F$42)-MIN(ROW('03.Muestra'!$D$8:$D$42))+1,""),ROW()-1842)),"")</f>
        <v>https://elecciones.comunidad.madrid/es/buzon-de-sugerencias</v>
      </c>
      <c r="D1858" s="99" t="s">
        <v>184</v>
      </c>
      <c r="E1858" s="79" t="str">
        <f t="shared" si="96"/>
        <v/>
      </c>
      <c r="F1858" s="18"/>
      <c r="G1858" s="18"/>
      <c r="H1858" s="18"/>
      <c r="I1858" s="18"/>
      <c r="J1858" s="18"/>
      <c r="K1858" s="184"/>
    </row>
    <row r="1859" spans="1:11" ht="12" customHeight="1">
      <c r="A1859" s="39" cm="1">
        <f t="array" ref="A1859">IFERROR(INDEX('03.Muestra'!$B$8:$B$42,SMALL(IF("Página Web"='03.Muestra'!$D$8:$D$42,ROW('03.Muestra'!$B$8:$B$42)-MIN(ROW('03.Muestra'!$D$8:$D$42))+1,""),ROW()-1842)),"")</f>
        <v>17</v>
      </c>
      <c r="B1859" s="85" t="str" cm="1">
        <f t="array" ref="B1859">IFERROR(INDEX('03.Muestra'!$C$8:$C$42,SMALL(IF("Página Web"='03.Muestra'!$D$8:$D$42,ROW('03.Muestra'!$C$8:$C$42)-MIN(ROW('03.Muestra'!$D$8:$D$42))+1,""),ROW()-1842)),"")</f>
        <v>Buscador</v>
      </c>
      <c r="C1859" s="85" t="str" cm="1">
        <f t="array" ref="C1859">IFERROR(INDEX('03.Muestra'!$F$8:$F$42,SMALL(IF("Página Web"='03.Muestra'!$D$8:$D$42,ROW('03.Muestra'!$F$8:$F$42)-MIN(ROW('03.Muestra'!$D$8:$D$42))+1,""),ROW()-1842)),"")</f>
        <v>https://elecciones.comunidad.madrid/es/search?search_api_fulltext=partido</v>
      </c>
      <c r="D1859" s="99" t="s">
        <v>184</v>
      </c>
      <c r="E1859" s="79" t="str">
        <f t="shared" si="96"/>
        <v/>
      </c>
      <c r="F1859" s="18"/>
      <c r="G1859" s="18"/>
      <c r="H1859" s="18"/>
      <c r="I1859" s="18"/>
      <c r="J1859" s="18"/>
      <c r="K1859" s="184"/>
    </row>
    <row r="1860" spans="1:11" ht="12" customHeight="1">
      <c r="A1860" s="39" cm="1">
        <f t="array" ref="A1860">IFERROR(INDEX('03.Muestra'!$B$8:$B$42,SMALL(IF("Página Web"='03.Muestra'!$D$8:$D$42,ROW('03.Muestra'!$B$8:$B$42)-MIN(ROW('03.Muestra'!$D$8:$D$42))+1,""),ROW()-1842)),"")</f>
        <v>18</v>
      </c>
      <c r="B1860" s="85" t="str" cm="1">
        <f t="array" ref="B1860">IFERROR(INDEX('03.Muestra'!$C$8:$C$42,SMALL(IF("Página Web"='03.Muestra'!$D$8:$D$42,ROW('03.Muestra'!$C$8:$C$42)-MIN(ROW('03.Muestra'!$D$8:$D$42))+1,""),ROW()-1842)),"")</f>
        <v>Aviso Legal-Privacidad</v>
      </c>
      <c r="C1860" s="85" t="str" cm="1">
        <f t="array" ref="C1860">IFERROR(INDEX('03.Muestra'!$F$8:$F$42,SMALL(IF("Página Web"='03.Muestra'!$D$8:$D$42,ROW('03.Muestra'!$F$8:$F$42)-MIN(ROW('03.Muestra'!$D$8:$D$42))+1,""),ROW()-1842)),"")</f>
        <v>https://elecciones.comunidad.madrid/es/aviso-legal</v>
      </c>
      <c r="D1860" s="99" t="s">
        <v>184</v>
      </c>
      <c r="E1860" s="79" t="str">
        <f t="shared" si="96"/>
        <v/>
      </c>
      <c r="F1860" s="18"/>
      <c r="G1860" s="18"/>
      <c r="H1860" s="18"/>
      <c r="I1860" s="18"/>
      <c r="J1860" s="18"/>
      <c r="K1860" s="184"/>
    </row>
    <row r="1861" spans="1:11" ht="12" customHeight="1">
      <c r="A1861" s="39" cm="1">
        <f t="array" ref="A1861">IFERROR(INDEX('03.Muestra'!$B$8:$B$42,SMALL(IF("Página Web"='03.Muestra'!$D$8:$D$42,ROW('03.Muestra'!$B$8:$B$42)-MIN(ROW('03.Muestra'!$D$8:$D$42))+1,""),ROW()-1842)),"")</f>
        <v>19</v>
      </c>
      <c r="B1861" s="85" t="str" cm="1">
        <f t="array" ref="B1861">IFERROR(INDEX('03.Muestra'!$C$8:$C$42,SMALL(IF("Página Web"='03.Muestra'!$D$8:$D$42,ROW('03.Muestra'!$C$8:$C$42)-MIN(ROW('03.Muestra'!$D$8:$D$42))+1,""),ROW()-1842)),"")</f>
        <v>Mapa Web</v>
      </c>
      <c r="C1861" s="85" t="str" cm="1">
        <f t="array" ref="C1861">IFERROR(INDEX('03.Muestra'!$F$8:$F$42,SMALL(IF("Página Web"='03.Muestra'!$D$8:$D$42,ROW('03.Muestra'!$F$8:$F$42)-MIN(ROW('03.Muestra'!$D$8:$D$42))+1,""),ROW()-1842)),"")</f>
        <v>https://elecciones.comunidad.madrid/es/sitemap</v>
      </c>
      <c r="D1861" s="99" t="s">
        <v>184</v>
      </c>
      <c r="E1861" s="79" t="str">
        <f t="shared" si="96"/>
        <v/>
      </c>
      <c r="F1861" s="18"/>
      <c r="G1861" s="18"/>
      <c r="H1861" s="18"/>
      <c r="I1861" s="18"/>
      <c r="J1861" s="18"/>
      <c r="K1861" s="184"/>
    </row>
    <row r="1862" spans="1:11" ht="12" customHeight="1">
      <c r="A1862" s="39" cm="1">
        <f t="array" ref="A1862">IFERROR(INDEX('03.Muestra'!$B$8:$B$42,SMALL(IF("Página Web"='03.Muestra'!$D$8:$D$42,ROW('03.Muestra'!$B$8:$B$42)-MIN(ROW('03.Muestra'!$D$8:$D$42))+1,""),ROW()-1842)),"")</f>
        <v>20</v>
      </c>
      <c r="B1862" s="85" t="str" cm="1">
        <f t="array" ref="B1862">IFERROR(INDEX('03.Muestra'!$C$8:$C$42,SMALL(IF("Página Web"='03.Muestra'!$D$8:$D$42,ROW('03.Muestra'!$C$8:$C$42)-MIN(ROW('03.Muestra'!$D$8:$D$42))+1,""),ROW()-1842)),"")</f>
        <v>Declaracion Accesibilidad</v>
      </c>
      <c r="C1862" s="85" t="str" cm="1">
        <f t="array" ref="C1862">IFERROR(INDEX('03.Muestra'!$F$8:$F$42,SMALL(IF("Página Web"='03.Muestra'!$D$8:$D$42,ROW('03.Muestra'!$F$8:$F$42)-MIN(ROW('03.Muestra'!$D$8:$D$42))+1,""),ROW()-1842)),"")</f>
        <v>https://elecciones.comunidad.madrid/es/accesibilidad</v>
      </c>
      <c r="D1862" s="99" t="s">
        <v>184</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ref="D1863:D1877" si="97">IF(AND(B1863&lt;&gt;"",C1863&lt;&gt;""),"N/T","")</f>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4.5">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181</v>
      </c>
      <c r="B1880" s="23" t="s">
        <v>173</v>
      </c>
      <c r="C1880" s="24" t="s">
        <v>273</v>
      </c>
      <c r="D1880" s="25" t="s">
        <v>183</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Inicio</v>
      </c>
      <c r="C1881" s="85" t="str" cm="1">
        <f t="array" ref="C1881">IFERROR(INDEX('03.Muestra'!$F$8:$F$42,SMALL(IF("Página Web"='03.Muestra'!$D$8:$D$42,ROW('03.Muestra'!$F$8:$F$42)-MIN(ROW('03.Muestra'!$D$8:$D$42))+1,""),ROW()-1880)),"")</f>
        <v>https://elecciones.comunidad.madrid/es</v>
      </c>
      <c r="D1881" s="99" t="s">
        <v>176</v>
      </c>
      <c r="E1881" s="79" t="str">
        <f t="shared" ref="E1881:E1915" si="98">IF(D1881&lt;&gt;"",IF(AND(B1881&lt;&gt;"",C1881&lt;&gt;""),"","ERR"),"")</f>
        <v/>
      </c>
      <c r="F1881" s="86" t="s">
        <v>185</v>
      </c>
      <c r="G1881" s="87" t="s">
        <v>186</v>
      </c>
      <c r="H1881" s="88" t="s">
        <v>184</v>
      </c>
      <c r="I1881" s="89" t="s">
        <v>176</v>
      </c>
      <c r="J1881" s="90" t="s">
        <v>174</v>
      </c>
      <c r="K1881" s="179" t="s">
        <v>180</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Resultado Elecciones 28M 2023</v>
      </c>
      <c r="C1882" s="85" t="str" cm="1">
        <f t="array" ref="C1882">IFERROR(INDEX('03.Muestra'!$F$8:$F$42,SMALL(IF("Página Web"='03.Muestra'!$D$8:$D$42,ROW('03.Muestra'!$F$8:$F$42)-MIN(ROW('03.Muestra'!$D$8:$D$42))+1,""),ROW()-1880)),"")</f>
        <v>https://elecciones.comunidad.madrid/es/resultados-elecciones-asamblea-madrid-28m-2023</v>
      </c>
      <c r="D1882" s="99" t="s">
        <v>176</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20</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Normativa electoral</v>
      </c>
      <c r="C1883" s="85" t="str" cm="1">
        <f t="array" ref="C1883">IFERROR(INDEX('03.Muestra'!$F$8:$F$42,SMALL(IF("Página Web"='03.Muestra'!$D$8:$D$42,ROW('03.Muestra'!$F$8:$F$42)-MIN(ROW('03.Muestra'!$D$8:$D$42))+1,""),ROW()-1880)),"")</f>
        <v>https://elecciones.comunidad.madrid/es/informacion-electoral/normativa-electoral</v>
      </c>
      <c r="D1883" s="99" t="s">
        <v>176</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Calendario electoral</v>
      </c>
      <c r="C1884" s="85" t="str" cm="1">
        <f t="array" ref="C1884">IFERROR(INDEX('03.Muestra'!$F$8:$F$42,SMALL(IF("Página Web"='03.Muestra'!$D$8:$D$42,ROW('03.Muestra'!$F$8:$F$42)-MIN(ROW('03.Muestra'!$D$8:$D$42))+1,""),ROW()-1880)),"")</f>
        <v>https://elecciones.comunidad.madrid/es/informacion-electoral/calendario-electoral</v>
      </c>
      <c r="D1884" s="99" t="s">
        <v>176</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Direcciones y teléfonos</v>
      </c>
      <c r="C1885" s="85" t="str" cm="1">
        <f t="array" ref="C1885">IFERROR(INDEX('03.Muestra'!$F$8:$F$42,SMALL(IF("Página Web"='03.Muestra'!$D$8:$D$42,ROW('03.Muestra'!$F$8:$F$42)-MIN(ROW('03.Muestra'!$D$8:$D$42))+1,""),ROW()-1880)),"")</f>
        <v>https://elecciones.comunidad.madrid/es/juntas-electorales/direcciones-telefonos</v>
      </c>
      <c r="D1885" s="99" t="s">
        <v>176</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Impresos electrónicos</v>
      </c>
      <c r="C1886" s="85" t="str" cm="1">
        <f t="array" ref="C1886">IFERROR(INDEX('03.Muestra'!$F$8:$F$42,SMALL(IF("Página Web"='03.Muestra'!$D$8:$D$42,ROW('03.Muestra'!$F$8:$F$42)-MIN(ROW('03.Muestra'!$D$8:$D$42))+1,""),ROW()-1880)),"")</f>
        <v>https://elecciones.comunidad.madrid/es/formaciones-politicas/impresos-electronicos</v>
      </c>
      <c r="D1886" s="99" t="s">
        <v>176</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Listado de candidaturas</v>
      </c>
      <c r="C1887" s="85" t="str" cm="1">
        <f t="array" ref="C1887">IFERROR(INDEX('03.Muestra'!$F$8:$F$42,SMALL(IF("Página Web"='03.Muestra'!$D$8:$D$42,ROW('03.Muestra'!$F$8:$F$42)-MIN(ROW('03.Muestra'!$D$8:$D$42))+1,""),ROW()-1880)),"")</f>
        <v>https://elecciones.comunidad.madrid/es/formaciones-politicas/listado-candidaturas-proclamadas</v>
      </c>
      <c r="D1887" s="99" t="s">
        <v>176</v>
      </c>
      <c r="E1887" s="79" t="str">
        <f t="shared" si="98"/>
        <v/>
      </c>
      <c r="F1887" s="18"/>
      <c r="G1887" s="18"/>
      <c r="H1887" s="18"/>
      <c r="I1887" s="18"/>
      <c r="J1887" s="18"/>
      <c r="K1887" s="184"/>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Partido Feminista de España</v>
      </c>
      <c r="C1888" s="85" t="str" cm="1">
        <f t="array" ref="C1888">IFERROR(INDEX('03.Muestra'!$F$8:$F$42,SMALL(IF("Página Web"='03.Muestra'!$D$8:$D$42,ROW('03.Muestra'!$F$8:$F$42)-MIN(ROW('03.Muestra'!$D$8:$D$42))+1,""),ROW()-1880)),"")</f>
        <v>https://elecciones.comunidad.madrid/es/formaciones-politicas/listado-candidaturas/partido-feminista-espana</v>
      </c>
      <c r="D1888" s="99" t="s">
        <v>176</v>
      </c>
      <c r="E1888" s="79" t="str">
        <f t="shared" si="98"/>
        <v/>
      </c>
      <c r="F1888" s="18"/>
      <c r="G1888" s="18"/>
      <c r="H1888" s="18"/>
      <c r="I1888" s="18"/>
      <c r="J1888" s="18"/>
      <c r="K1888" s="184"/>
    </row>
    <row r="1889" spans="1:11" ht="12" customHeight="1">
      <c r="A1889" s="39" cm="1">
        <f t="array" ref="A1889">IFERROR(INDEX('03.Muestra'!$B$8:$B$42,SMALL(IF("Página Web"='03.Muestra'!$D$8:$D$42,ROW('03.Muestra'!$B$8:$B$42)-MIN(ROW('03.Muestra'!$D$8:$D$42))+1,""),ROW()-1880)),"")</f>
        <v>9</v>
      </c>
      <c r="B1889" s="85" t="str" cm="1">
        <f t="array" ref="B1889">IFERROR(INDEX('03.Muestra'!$C$8:$C$42,SMALL(IF("Página Web"='03.Muestra'!$D$8:$D$42,ROW('03.Muestra'!$C$8:$C$42)-MIN(ROW('03.Muestra'!$D$8:$D$42))+1,""),ROW()-1880)),"")</f>
        <v>¿Dónde voto?</v>
      </c>
      <c r="C1889" s="85" t="str" cm="1">
        <f t="array" ref="C1889">IFERROR(INDEX('03.Muestra'!$F$8:$F$42,SMALL(IF("Página Web"='03.Muestra'!$D$8:$D$42,ROW('03.Muestra'!$F$8:$F$42)-MIN(ROW('03.Muestra'!$D$8:$D$42))+1,""),ROW()-1880)),"")</f>
        <v>https://elecciones.comunidad.madrid/es/votar/donde-voto</v>
      </c>
      <c r="D1889" s="99" t="s">
        <v>176</v>
      </c>
      <c r="E1889" s="79" t="str">
        <f t="shared" si="98"/>
        <v/>
      </c>
      <c r="F1889" s="18"/>
      <c r="G1889" s="18"/>
      <c r="H1889" s="18"/>
      <c r="I1889" s="18"/>
      <c r="J1889" s="18"/>
      <c r="K1889" s="184"/>
    </row>
    <row r="1890" spans="1:11" ht="12" customHeight="1">
      <c r="A1890" s="39" cm="1">
        <f t="array" ref="A1890">IFERROR(INDEX('03.Muestra'!$B$8:$B$42,SMALL(IF("Página Web"='03.Muestra'!$D$8:$D$42,ROW('03.Muestra'!$B$8:$B$42)-MIN(ROW('03.Muestra'!$D$8:$D$42))+1,""),ROW()-1880)),"")</f>
        <v>10</v>
      </c>
      <c r="B1890" s="85" t="str" cm="1">
        <f t="array" ref="B1890">IFERROR(INDEX('03.Muestra'!$C$8:$C$42,SMALL(IF("Página Web"='03.Muestra'!$D$8:$D$42,ROW('03.Muestra'!$C$8:$C$42)-MIN(ROW('03.Muestra'!$D$8:$D$42))+1,""),ROW()-1880)),"")</f>
        <v>Voto presencial</v>
      </c>
      <c r="C1890" s="85" t="str" cm="1">
        <f t="array" ref="C1890">IFERROR(INDEX('03.Muestra'!$F$8:$F$42,SMALL(IF("Página Web"='03.Muestra'!$D$8:$D$42,ROW('03.Muestra'!$F$8:$F$42)-MIN(ROW('03.Muestra'!$D$8:$D$42))+1,""),ROW()-1880)),"")</f>
        <v>https://elecciones.comunidad.madrid/es/voto-local-electoral/voto-presencial</v>
      </c>
      <c r="D1890" s="99" t="s">
        <v>176</v>
      </c>
      <c r="E1890" s="79" t="str">
        <f t="shared" si="98"/>
        <v/>
      </c>
      <c r="F1890" s="18"/>
      <c r="G1890" s="18"/>
      <c r="H1890" s="18"/>
      <c r="I1890" s="18"/>
      <c r="J1890" s="18"/>
      <c r="K1890" s="184"/>
    </row>
    <row r="1891" spans="1:11" ht="12" customHeight="1">
      <c r="A1891" s="39" cm="1">
        <f t="array" ref="A1891">IFERROR(INDEX('03.Muestra'!$B$8:$B$42,SMALL(IF("Página Web"='03.Muestra'!$D$8:$D$42,ROW('03.Muestra'!$B$8:$B$42)-MIN(ROW('03.Muestra'!$D$8:$D$42))+1,""),ROW()-1880)),"")</f>
        <v>11</v>
      </c>
      <c r="B1891" s="85" t="str" cm="1">
        <f t="array" ref="B1891">IFERROR(INDEX('03.Muestra'!$C$8:$C$42,SMALL(IF("Página Web"='03.Muestra'!$D$8:$D$42,ROW('03.Muestra'!$C$8:$C$42)-MIN(ROW('03.Muestra'!$D$8:$D$42))+1,""),ROW()-1880)),"")</f>
        <v>Ciudadanos temporalmente en el extranjero</v>
      </c>
      <c r="C1891" s="85" t="str" cm="1">
        <f t="array" ref="C1891">IFERROR(INDEX('03.Muestra'!$F$8:$F$42,SMALL(IF("Página Web"='03.Muestra'!$D$8:$D$42,ROW('03.Muestra'!$F$8:$F$42)-MIN(ROW('03.Muestra'!$D$8:$D$42))+1,""),ROW()-1880)),"")</f>
        <v>https://elecciones.comunidad.madrid/es/voto-correo/solicitud-voto-temporalmente-ausentes</v>
      </c>
      <c r="D1891" s="99" t="s">
        <v>176</v>
      </c>
      <c r="E1891" s="79" t="str">
        <f t="shared" si="98"/>
        <v/>
      </c>
      <c r="F1891" s="18"/>
      <c r="G1891" s="18"/>
      <c r="H1891" s="18"/>
      <c r="I1891" s="18"/>
      <c r="J1891" s="18"/>
      <c r="K1891" s="184"/>
    </row>
    <row r="1892" spans="1:11" ht="12" customHeight="1">
      <c r="A1892" s="39" cm="1">
        <f t="array" ref="A1892">IFERROR(INDEX('03.Muestra'!$B$8:$B$42,SMALL(IF("Página Web"='03.Muestra'!$D$8:$D$42,ROW('03.Muestra'!$B$8:$B$42)-MIN(ROW('03.Muestra'!$D$8:$D$42))+1,""),ROW()-1880)),"")</f>
        <v>12</v>
      </c>
      <c r="B1892" s="85" t="str" cm="1">
        <f t="array" ref="B1892">IFERROR(INDEX('03.Muestra'!$C$8:$C$42,SMALL(IF("Página Web"='03.Muestra'!$D$8:$D$42,ROW('03.Muestra'!$C$8:$C$42)-MIN(ROW('03.Muestra'!$D$8:$D$42))+1,""),ROW()-1880)),"")</f>
        <v>Nuevo votante</v>
      </c>
      <c r="C1892" s="85" t="str" cm="1">
        <f t="array" ref="C1892">IFERROR(INDEX('03.Muestra'!$F$8:$F$42,SMALL(IF("Página Web"='03.Muestra'!$D$8:$D$42,ROW('03.Muestra'!$F$8:$F$42)-MIN(ROW('03.Muestra'!$D$8:$D$42))+1,""),ROW()-1880)),"")</f>
        <v>https://elecciones.comunidad.madrid/es/votar/nuevo-votante</v>
      </c>
      <c r="D1892" s="99" t="s">
        <v>176</v>
      </c>
      <c r="E1892" s="79" t="str">
        <f t="shared" si="98"/>
        <v/>
      </c>
      <c r="F1892" s="18"/>
      <c r="G1892" s="18"/>
      <c r="H1892" s="18"/>
      <c r="I1892" s="18"/>
      <c r="J1892" s="18"/>
      <c r="K1892" s="184"/>
    </row>
    <row r="1893" spans="1:11" ht="12" customHeight="1">
      <c r="A1893" s="39" cm="1">
        <f t="array" ref="A1893">IFERROR(INDEX('03.Muestra'!$B$8:$B$42,SMALL(IF("Página Web"='03.Muestra'!$D$8:$D$42,ROW('03.Muestra'!$B$8:$B$42)-MIN(ROW('03.Muestra'!$D$8:$D$42))+1,""),ROW()-1880)),"")</f>
        <v>13</v>
      </c>
      <c r="B1893" s="85" t="str" cm="1">
        <f t="array" ref="B1893">IFERROR(INDEX('03.Muestra'!$C$8:$C$42,SMALL(IF("Página Web"='03.Muestra'!$D$8:$D$42,ROW('03.Muestra'!$C$8:$C$42)-MIN(ROW('03.Muestra'!$D$8:$D$42))+1,""),ROW()-1880)),"")</f>
        <v>Simulación método D'Hondt</v>
      </c>
      <c r="C1893" s="85" t="str" cm="1">
        <f t="array" ref="C1893">IFERROR(INDEX('03.Muestra'!$F$8:$F$42,SMALL(IF("Página Web"='03.Muestra'!$D$8:$D$42,ROW('03.Muestra'!$F$8:$F$42)-MIN(ROW('03.Muestra'!$D$8:$D$42))+1,""),ROW()-1880)),"")</f>
        <v>https://elecciones.comunidad.madrid/es/informacion-util/simulacion-metodo-dhondt</v>
      </c>
      <c r="D1893" s="99" t="s">
        <v>176</v>
      </c>
      <c r="E1893" s="79" t="str">
        <f t="shared" si="98"/>
        <v/>
      </c>
      <c r="F1893" s="18"/>
      <c r="G1893" s="18"/>
      <c r="H1893" s="18"/>
      <c r="I1893" s="18"/>
      <c r="J1893" s="18"/>
      <c r="K1893" s="184"/>
    </row>
    <row r="1894" spans="1:11" ht="12" customHeight="1">
      <c r="A1894" s="39" cm="1">
        <f t="array" ref="A1894">IFERROR(INDEX('03.Muestra'!$B$8:$B$42,SMALL(IF("Página Web"='03.Muestra'!$D$8:$D$42,ROW('03.Muestra'!$B$8:$B$42)-MIN(ROW('03.Muestra'!$D$8:$D$42))+1,""),ROW()-1880)),"")</f>
        <v>14</v>
      </c>
      <c r="B1894" s="85" t="str" cm="1">
        <f t="array" ref="B1894">IFERROR(INDEX('03.Muestra'!$C$8:$C$42,SMALL(IF("Página Web"='03.Muestra'!$D$8:$D$42,ROW('03.Muestra'!$C$8:$C$42)-MIN(ROW('03.Muestra'!$D$8:$D$42))+1,""),ROW()-1880)),"")</f>
        <v>Ley D'Hondt</v>
      </c>
      <c r="C1894" s="85" t="str" cm="1">
        <f t="array" ref="C1894">IFERROR(INDEX('03.Muestra'!$F$8:$F$42,SMALL(IF("Página Web"='03.Muestra'!$D$8:$D$42,ROW('03.Muestra'!$F$8:$F$42)-MIN(ROW('03.Muestra'!$D$8:$D$42))+1,""),ROW()-1880)),"")</f>
        <v>https://elecciones.comunidad.madrid/es/resultados/ley_d_hondt</v>
      </c>
      <c r="D1894" s="99" t="s">
        <v>176</v>
      </c>
      <c r="E1894" s="79" t="str">
        <f t="shared" si="98"/>
        <v/>
      </c>
      <c r="F1894" s="18"/>
      <c r="G1894" s="18"/>
      <c r="H1894" s="18"/>
      <c r="I1894" s="18"/>
      <c r="J1894" s="18"/>
      <c r="K1894" s="184"/>
    </row>
    <row r="1895" spans="1:11" ht="12" customHeight="1">
      <c r="A1895" s="39" cm="1">
        <f t="array" ref="A1895">IFERROR(INDEX('03.Muestra'!$B$8:$B$42,SMALL(IF("Página Web"='03.Muestra'!$D$8:$D$42,ROW('03.Muestra'!$B$8:$B$42)-MIN(ROW('03.Muestra'!$D$8:$D$42))+1,""),ROW()-1880)),"")</f>
        <v>15</v>
      </c>
      <c r="B1895" s="85" t="str" cm="1">
        <f t="array" ref="B1895">IFERROR(INDEX('03.Muestra'!$C$8:$C$42,SMALL(IF("Página Web"='03.Muestra'!$D$8:$D$42,ROW('03.Muestra'!$C$8:$C$42)-MIN(ROW('03.Muestra'!$D$8:$D$42))+1,""),ROW()-1880)),"")</f>
        <v>Voto por correo elector CERA en España</v>
      </c>
      <c r="C1895" s="85" t="str" cm="1">
        <f t="array" ref="C1895">IFERROR(INDEX('03.Muestra'!$F$8:$F$42,SMALL(IF("Página Web"='03.Muestra'!$D$8:$D$42,ROW('03.Muestra'!$F$8:$F$42)-MIN(ROW('03.Muestra'!$D$8:$D$42))+1,""),ROW()-1880)),"")</f>
        <v>https://elecciones.comunidad.madrid/es/preguntas-frecuentes/voto-correo-electores-residentes-extranjero</v>
      </c>
      <c r="D1895" s="99" t="s">
        <v>176</v>
      </c>
      <c r="E1895" s="79" t="str">
        <f t="shared" si="98"/>
        <v/>
      </c>
      <c r="F1895" s="18"/>
      <c r="G1895" s="18"/>
      <c r="H1895" s="18"/>
      <c r="I1895" s="18"/>
      <c r="J1895" s="18"/>
      <c r="K1895" s="184"/>
    </row>
    <row r="1896" spans="1:11" ht="12" customHeight="1">
      <c r="A1896" s="39" cm="1">
        <f t="array" ref="A1896">IFERROR(INDEX('03.Muestra'!$B$8:$B$42,SMALL(IF("Página Web"='03.Muestra'!$D$8:$D$42,ROW('03.Muestra'!$B$8:$B$42)-MIN(ROW('03.Muestra'!$D$8:$D$42))+1,""),ROW()-1880)),"")</f>
        <v>16</v>
      </c>
      <c r="B1896" s="85" t="str" cm="1">
        <f t="array" ref="B1896">IFERROR(INDEX('03.Muestra'!$C$8:$C$42,SMALL(IF("Página Web"='03.Muestra'!$D$8:$D$42,ROW('03.Muestra'!$C$8:$C$42)-MIN(ROW('03.Muestra'!$D$8:$D$42))+1,""),ROW()-1880)),"")</f>
        <v>Contacto</v>
      </c>
      <c r="C1896" s="85" t="str" cm="1">
        <f t="array" ref="C1896">IFERROR(INDEX('03.Muestra'!$F$8:$F$42,SMALL(IF("Página Web"='03.Muestra'!$D$8:$D$42,ROW('03.Muestra'!$F$8:$F$42)-MIN(ROW('03.Muestra'!$D$8:$D$42))+1,""),ROW()-1880)),"")</f>
        <v>https://elecciones.comunidad.madrid/es/buzon-de-sugerencias</v>
      </c>
      <c r="D1896" s="99" t="s">
        <v>176</v>
      </c>
      <c r="E1896" s="79" t="str">
        <f t="shared" si="98"/>
        <v/>
      </c>
      <c r="F1896" s="18"/>
      <c r="G1896" s="18"/>
      <c r="H1896" s="18"/>
      <c r="I1896" s="18"/>
      <c r="J1896" s="18"/>
      <c r="K1896" s="184"/>
    </row>
    <row r="1897" spans="1:11" ht="12" customHeight="1">
      <c r="A1897" s="39" cm="1">
        <f t="array" ref="A1897">IFERROR(INDEX('03.Muestra'!$B$8:$B$42,SMALL(IF("Página Web"='03.Muestra'!$D$8:$D$42,ROW('03.Muestra'!$B$8:$B$42)-MIN(ROW('03.Muestra'!$D$8:$D$42))+1,""),ROW()-1880)),"")</f>
        <v>17</v>
      </c>
      <c r="B1897" s="85" t="str" cm="1">
        <f t="array" ref="B1897">IFERROR(INDEX('03.Muestra'!$C$8:$C$42,SMALL(IF("Página Web"='03.Muestra'!$D$8:$D$42,ROW('03.Muestra'!$C$8:$C$42)-MIN(ROW('03.Muestra'!$D$8:$D$42))+1,""),ROW()-1880)),"")</f>
        <v>Buscador</v>
      </c>
      <c r="C1897" s="85" t="str" cm="1">
        <f t="array" ref="C1897">IFERROR(INDEX('03.Muestra'!$F$8:$F$42,SMALL(IF("Página Web"='03.Muestra'!$D$8:$D$42,ROW('03.Muestra'!$F$8:$F$42)-MIN(ROW('03.Muestra'!$D$8:$D$42))+1,""),ROW()-1880)),"")</f>
        <v>https://elecciones.comunidad.madrid/es/search?search_api_fulltext=partido</v>
      </c>
      <c r="D1897" s="99" t="s">
        <v>176</v>
      </c>
      <c r="E1897" s="79" t="str">
        <f t="shared" si="98"/>
        <v/>
      </c>
      <c r="F1897" s="18"/>
      <c r="G1897" s="18"/>
      <c r="H1897" s="18"/>
      <c r="I1897" s="18"/>
      <c r="J1897" s="18"/>
      <c r="K1897" s="184"/>
    </row>
    <row r="1898" spans="1:11" ht="12" customHeight="1">
      <c r="A1898" s="39" cm="1">
        <f t="array" ref="A1898">IFERROR(INDEX('03.Muestra'!$B$8:$B$42,SMALL(IF("Página Web"='03.Muestra'!$D$8:$D$42,ROW('03.Muestra'!$B$8:$B$42)-MIN(ROW('03.Muestra'!$D$8:$D$42))+1,""),ROW()-1880)),"")</f>
        <v>18</v>
      </c>
      <c r="B1898" s="85" t="str" cm="1">
        <f t="array" ref="B1898">IFERROR(INDEX('03.Muestra'!$C$8:$C$42,SMALL(IF("Página Web"='03.Muestra'!$D$8:$D$42,ROW('03.Muestra'!$C$8:$C$42)-MIN(ROW('03.Muestra'!$D$8:$D$42))+1,""),ROW()-1880)),"")</f>
        <v>Aviso Legal-Privacidad</v>
      </c>
      <c r="C1898" s="85" t="str" cm="1">
        <f t="array" ref="C1898">IFERROR(INDEX('03.Muestra'!$F$8:$F$42,SMALL(IF("Página Web"='03.Muestra'!$D$8:$D$42,ROW('03.Muestra'!$F$8:$F$42)-MIN(ROW('03.Muestra'!$D$8:$D$42))+1,""),ROW()-1880)),"")</f>
        <v>https://elecciones.comunidad.madrid/es/aviso-legal</v>
      </c>
      <c r="D1898" s="99" t="s">
        <v>176</v>
      </c>
      <c r="E1898" s="79" t="str">
        <f t="shared" si="98"/>
        <v/>
      </c>
      <c r="F1898" s="18"/>
      <c r="G1898" s="18"/>
      <c r="H1898" s="18"/>
      <c r="I1898" s="18"/>
      <c r="J1898" s="18"/>
      <c r="K1898" s="184"/>
    </row>
    <row r="1899" spans="1:11" ht="12" customHeight="1">
      <c r="A1899" s="39" cm="1">
        <f t="array" ref="A1899">IFERROR(INDEX('03.Muestra'!$B$8:$B$42,SMALL(IF("Página Web"='03.Muestra'!$D$8:$D$42,ROW('03.Muestra'!$B$8:$B$42)-MIN(ROW('03.Muestra'!$D$8:$D$42))+1,""),ROW()-1880)),"")</f>
        <v>19</v>
      </c>
      <c r="B1899" s="85" t="str" cm="1">
        <f t="array" ref="B1899">IFERROR(INDEX('03.Muestra'!$C$8:$C$42,SMALL(IF("Página Web"='03.Muestra'!$D$8:$D$42,ROW('03.Muestra'!$C$8:$C$42)-MIN(ROW('03.Muestra'!$D$8:$D$42))+1,""),ROW()-1880)),"")</f>
        <v>Mapa Web</v>
      </c>
      <c r="C1899" s="85" t="str" cm="1">
        <f t="array" ref="C1899">IFERROR(INDEX('03.Muestra'!$F$8:$F$42,SMALL(IF("Página Web"='03.Muestra'!$D$8:$D$42,ROW('03.Muestra'!$F$8:$F$42)-MIN(ROW('03.Muestra'!$D$8:$D$42))+1,""),ROW()-1880)),"")</f>
        <v>https://elecciones.comunidad.madrid/es/sitemap</v>
      </c>
      <c r="D1899" s="99" t="s">
        <v>176</v>
      </c>
      <c r="E1899" s="79" t="str">
        <f t="shared" si="98"/>
        <v/>
      </c>
      <c r="F1899" s="18"/>
      <c r="G1899" s="18"/>
      <c r="H1899" s="18"/>
      <c r="I1899" s="18"/>
      <c r="J1899" s="18"/>
      <c r="K1899" s="184"/>
    </row>
    <row r="1900" spans="1:11" ht="12" customHeight="1">
      <c r="A1900" s="39" cm="1">
        <f t="array" ref="A1900">IFERROR(INDEX('03.Muestra'!$B$8:$B$42,SMALL(IF("Página Web"='03.Muestra'!$D$8:$D$42,ROW('03.Muestra'!$B$8:$B$42)-MIN(ROW('03.Muestra'!$D$8:$D$42))+1,""),ROW()-1880)),"")</f>
        <v>20</v>
      </c>
      <c r="B1900" s="85" t="str" cm="1">
        <f t="array" ref="B1900">IFERROR(INDEX('03.Muestra'!$C$8:$C$42,SMALL(IF("Página Web"='03.Muestra'!$D$8:$D$42,ROW('03.Muestra'!$C$8:$C$42)-MIN(ROW('03.Muestra'!$D$8:$D$42))+1,""),ROW()-1880)),"")</f>
        <v>Declaracion Accesibilidad</v>
      </c>
      <c r="C1900" s="85" t="str" cm="1">
        <f t="array" ref="C1900">IFERROR(INDEX('03.Muestra'!$F$8:$F$42,SMALL(IF("Página Web"='03.Muestra'!$D$8:$D$42,ROW('03.Muestra'!$F$8:$F$42)-MIN(ROW('03.Muestra'!$D$8:$D$42))+1,""),ROW()-1880)),"")</f>
        <v>https://elecciones.comunidad.madrid/es/accesibilidad</v>
      </c>
      <c r="D1900" s="99" t="s">
        <v>176</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ref="D1901:D1915" si="99">IF(AND(B1901&lt;&gt;"",C1901&lt;&gt;""),"N/T","")</f>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4.5">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D19:D53">
    <cfRule type="cellIs" dxfId="912" priority="374" stopIfTrue="1" operator="equal">
      <formula>"N/A"</formula>
    </cfRule>
    <cfRule type="cellIs" dxfId="911" priority="376" stopIfTrue="1" operator="equal">
      <formula>"N/D"</formula>
    </cfRule>
    <cfRule type="cellIs" dxfId="910" priority="375" stopIfTrue="1" operator="equal">
      <formula>"N/T"</formula>
    </cfRule>
    <cfRule type="cellIs" dxfId="909" priority="373" stopIfTrue="1" operator="equal">
      <formula>"Falla"</formula>
    </cfRule>
    <cfRule type="cellIs" dxfId="908" priority="372" stopIfTrue="1" operator="equal">
      <formula>"Pasa"</formula>
    </cfRule>
    <cfRule type="expression" dxfId="907" priority="371" stopIfTrue="1">
      <formula>ISBLANK(D19)</formula>
    </cfRule>
    <cfRule type="cellIs" dxfId="906" priority="370" stopIfTrue="1" operator="equal">
      <formula>"-"</formula>
    </cfRule>
  </conditionalFormatting>
  <conditionalFormatting sqref="D57:D91">
    <cfRule type="cellIs" dxfId="905" priority="368" stopIfTrue="1" operator="equal">
      <formula>"N/T"</formula>
    </cfRule>
    <cfRule type="cellIs" dxfId="904" priority="367" stopIfTrue="1" operator="equal">
      <formula>"N/A"</formula>
    </cfRule>
    <cfRule type="cellIs" dxfId="903" priority="366" stopIfTrue="1" operator="equal">
      <formula>"Falla"</formula>
    </cfRule>
    <cfRule type="cellIs" dxfId="902" priority="365" stopIfTrue="1" operator="equal">
      <formula>"Pasa"</formula>
    </cfRule>
    <cfRule type="expression" dxfId="901" priority="364" stopIfTrue="1">
      <formula>ISBLANK(D57)</formula>
    </cfRule>
    <cfRule type="cellIs" dxfId="900" priority="363" stopIfTrue="1" operator="equal">
      <formula>"-"</formula>
    </cfRule>
    <cfRule type="cellIs" dxfId="899" priority="369" stopIfTrue="1" operator="equal">
      <formula>"N/D"</formula>
    </cfRule>
  </conditionalFormatting>
  <conditionalFormatting sqref="D95:D129">
    <cfRule type="cellIs" dxfId="898" priority="356" stopIfTrue="1" operator="equal">
      <formula>"-"</formula>
    </cfRule>
    <cfRule type="cellIs" dxfId="897" priority="362" stopIfTrue="1" operator="equal">
      <formula>"N/D"</formula>
    </cfRule>
    <cfRule type="cellIs" dxfId="896" priority="361" stopIfTrue="1" operator="equal">
      <formula>"N/T"</formula>
    </cfRule>
    <cfRule type="cellIs" dxfId="895" priority="360" stopIfTrue="1" operator="equal">
      <formula>"N/A"</formula>
    </cfRule>
    <cfRule type="cellIs" dxfId="894" priority="359" stopIfTrue="1" operator="equal">
      <formula>"Falla"</formula>
    </cfRule>
    <cfRule type="cellIs" dxfId="893" priority="358" stopIfTrue="1" operator="equal">
      <formula>"Pasa"</formula>
    </cfRule>
    <cfRule type="expression" dxfId="892" priority="357" stopIfTrue="1">
      <formula>ISBLANK(D95)</formula>
    </cfRule>
  </conditionalFormatting>
  <conditionalFormatting sqref="D133:D167">
    <cfRule type="cellIs" dxfId="891" priority="355" stopIfTrue="1" operator="equal">
      <formula>"N/D"</formula>
    </cfRule>
    <cfRule type="cellIs" dxfId="890" priority="354" stopIfTrue="1" operator="equal">
      <formula>"N/T"</formula>
    </cfRule>
    <cfRule type="cellIs" dxfId="889" priority="353" stopIfTrue="1" operator="equal">
      <formula>"N/A"</formula>
    </cfRule>
    <cfRule type="cellIs" dxfId="888" priority="352" stopIfTrue="1" operator="equal">
      <formula>"Falla"</formula>
    </cfRule>
    <cfRule type="cellIs" dxfId="887" priority="351" stopIfTrue="1" operator="equal">
      <formula>"Pasa"</formula>
    </cfRule>
    <cfRule type="expression" dxfId="886" priority="350" stopIfTrue="1">
      <formula>ISBLANK(D133)</formula>
    </cfRule>
    <cfRule type="cellIs" dxfId="885" priority="349" stopIfTrue="1" operator="equal">
      <formula>"-"</formula>
    </cfRule>
  </conditionalFormatting>
  <conditionalFormatting sqref="D171:D205">
    <cfRule type="cellIs" dxfId="884" priority="341" stopIfTrue="1" operator="equal">
      <formula>"N/D"</formula>
    </cfRule>
    <cfRule type="cellIs" dxfId="883" priority="340" stopIfTrue="1" operator="equal">
      <formula>"N/T"</formula>
    </cfRule>
    <cfRule type="cellIs" dxfId="882" priority="339" stopIfTrue="1" operator="equal">
      <formula>"N/A"</formula>
    </cfRule>
    <cfRule type="cellIs" dxfId="881" priority="337" stopIfTrue="1" operator="equal">
      <formula>"Pasa"</formula>
    </cfRule>
    <cfRule type="cellIs" dxfId="880" priority="338" stopIfTrue="1" operator="equal">
      <formula>"Falla"</formula>
    </cfRule>
    <cfRule type="expression" dxfId="879" priority="336" stopIfTrue="1">
      <formula>ISBLANK(D171)</formula>
    </cfRule>
    <cfRule type="cellIs" dxfId="878" priority="335" stopIfTrue="1" operator="equal">
      <formula>"-"</formula>
    </cfRule>
  </conditionalFormatting>
  <conditionalFormatting sqref="D209:D243">
    <cfRule type="cellIs" dxfId="877" priority="334" stopIfTrue="1" operator="equal">
      <formula>"N/D"</formula>
    </cfRule>
    <cfRule type="cellIs" dxfId="876" priority="328" stopIfTrue="1" operator="equal">
      <formula>"-"</formula>
    </cfRule>
    <cfRule type="expression" dxfId="875" priority="329" stopIfTrue="1">
      <formula>ISBLANK(D209)</formula>
    </cfRule>
    <cfRule type="cellIs" dxfId="874" priority="330" stopIfTrue="1" operator="equal">
      <formula>"Pasa"</formula>
    </cfRule>
    <cfRule type="cellIs" dxfId="873" priority="331" stopIfTrue="1" operator="equal">
      <formula>"Falla"</formula>
    </cfRule>
    <cfRule type="cellIs" dxfId="872" priority="332" stopIfTrue="1" operator="equal">
      <formula>"N/A"</formula>
    </cfRule>
    <cfRule type="cellIs" dxfId="871" priority="333" stopIfTrue="1" operator="equal">
      <formula>"N/T"</formula>
    </cfRule>
  </conditionalFormatting>
  <conditionalFormatting sqref="D247:D281">
    <cfRule type="cellIs" dxfId="870" priority="321" stopIfTrue="1" operator="equal">
      <formula>"-"</formula>
    </cfRule>
    <cfRule type="expression" dxfId="869" priority="322" stopIfTrue="1">
      <formula>ISBLANK(D247)</formula>
    </cfRule>
    <cfRule type="cellIs" dxfId="868" priority="323" stopIfTrue="1" operator="equal">
      <formula>"Pasa"</formula>
    </cfRule>
    <cfRule type="cellIs" dxfId="867" priority="324" stopIfTrue="1" operator="equal">
      <formula>"Falla"</formula>
    </cfRule>
    <cfRule type="cellIs" dxfId="866" priority="325" stopIfTrue="1" operator="equal">
      <formula>"N/A"</formula>
    </cfRule>
    <cfRule type="cellIs" dxfId="865" priority="326" stopIfTrue="1" operator="equal">
      <formula>"N/T"</formula>
    </cfRule>
    <cfRule type="cellIs" dxfId="864" priority="327" stopIfTrue="1" operator="equal">
      <formula>"N/D"</formula>
    </cfRule>
  </conditionalFormatting>
  <conditionalFormatting sqref="D285:D319">
    <cfRule type="cellIs" dxfId="863" priority="319" stopIfTrue="1" operator="equal">
      <formula>"N/T"</formula>
    </cfRule>
    <cfRule type="cellIs" dxfId="862" priority="320" stopIfTrue="1" operator="equal">
      <formula>"N/D"</formula>
    </cfRule>
    <cfRule type="cellIs" dxfId="861" priority="318" stopIfTrue="1" operator="equal">
      <formula>"N/A"</formula>
    </cfRule>
    <cfRule type="cellIs" dxfId="860" priority="317" stopIfTrue="1" operator="equal">
      <formula>"Falla"</formula>
    </cfRule>
    <cfRule type="cellIs" dxfId="859" priority="316" stopIfTrue="1" operator="equal">
      <formula>"Pasa"</formula>
    </cfRule>
    <cfRule type="expression" dxfId="858" priority="315" stopIfTrue="1">
      <formula>ISBLANK(D285)</formula>
    </cfRule>
    <cfRule type="cellIs" dxfId="857" priority="314" stopIfTrue="1" operator="equal">
      <formula>"-"</formula>
    </cfRule>
  </conditionalFormatting>
  <conditionalFormatting sqref="D323:D357">
    <cfRule type="cellIs" dxfId="856" priority="307" stopIfTrue="1" operator="equal">
      <formula>"-"</formula>
    </cfRule>
    <cfRule type="cellIs" dxfId="855" priority="309" stopIfTrue="1" operator="equal">
      <formula>"Pasa"</formula>
    </cfRule>
    <cfRule type="cellIs" dxfId="854" priority="310" stopIfTrue="1" operator="equal">
      <formula>"Falla"</formula>
    </cfRule>
    <cfRule type="cellIs" dxfId="853" priority="311" stopIfTrue="1" operator="equal">
      <formula>"N/A"</formula>
    </cfRule>
    <cfRule type="cellIs" dxfId="852" priority="312" stopIfTrue="1" operator="equal">
      <formula>"N/T"</formula>
    </cfRule>
    <cfRule type="cellIs" dxfId="851" priority="313" stopIfTrue="1" operator="equal">
      <formula>"N/D"</formula>
    </cfRule>
    <cfRule type="expression" dxfId="850" priority="308" stopIfTrue="1">
      <formula>ISBLANK(D323)</formula>
    </cfRule>
  </conditionalFormatting>
  <conditionalFormatting sqref="D361:D395">
    <cfRule type="cellIs" dxfId="849" priority="305" stopIfTrue="1" operator="equal">
      <formula>"N/T"</formula>
    </cfRule>
    <cfRule type="cellIs" dxfId="848" priority="300" stopIfTrue="1" operator="equal">
      <formula>"-"</formula>
    </cfRule>
    <cfRule type="cellIs" dxfId="847" priority="306" stopIfTrue="1" operator="equal">
      <formula>"N/D"</formula>
    </cfRule>
    <cfRule type="expression" dxfId="846" priority="301" stopIfTrue="1">
      <formula>ISBLANK(D361)</formula>
    </cfRule>
    <cfRule type="cellIs" dxfId="845" priority="302" stopIfTrue="1" operator="equal">
      <formula>"Pasa"</formula>
    </cfRule>
    <cfRule type="cellIs" dxfId="844" priority="303" stopIfTrue="1" operator="equal">
      <formula>"Falla"</formula>
    </cfRule>
    <cfRule type="cellIs" dxfId="843" priority="304" stopIfTrue="1" operator="equal">
      <formula>"N/A"</formula>
    </cfRule>
  </conditionalFormatting>
  <conditionalFormatting sqref="D399:D433">
    <cfRule type="cellIs" dxfId="842" priority="299" stopIfTrue="1" operator="equal">
      <formula>"N/D"</formula>
    </cfRule>
    <cfRule type="cellIs" dxfId="841" priority="298" stopIfTrue="1" operator="equal">
      <formula>"N/T"</formula>
    </cfRule>
    <cfRule type="cellIs" dxfId="840" priority="297" stopIfTrue="1" operator="equal">
      <formula>"N/A"</formula>
    </cfRule>
    <cfRule type="cellIs" dxfId="839" priority="296" stopIfTrue="1" operator="equal">
      <formula>"Falla"</formula>
    </cfRule>
    <cfRule type="cellIs" dxfId="838" priority="295" stopIfTrue="1" operator="equal">
      <formula>"Pasa"</formula>
    </cfRule>
    <cfRule type="expression" dxfId="837" priority="294" stopIfTrue="1">
      <formula>ISBLANK(D399)</formula>
    </cfRule>
    <cfRule type="cellIs" dxfId="836" priority="293" stopIfTrue="1" operator="equal">
      <formula>"-"</formula>
    </cfRule>
  </conditionalFormatting>
  <conditionalFormatting sqref="D437:D471">
    <cfRule type="cellIs" dxfId="835" priority="292" stopIfTrue="1" operator="equal">
      <formula>"N/D"</formula>
    </cfRule>
    <cfRule type="cellIs" dxfId="834" priority="291" stopIfTrue="1" operator="equal">
      <formula>"N/T"</formula>
    </cfRule>
    <cfRule type="cellIs" dxfId="833" priority="290" stopIfTrue="1" operator="equal">
      <formula>"N/A"</formula>
    </cfRule>
    <cfRule type="cellIs" dxfId="832" priority="289" stopIfTrue="1" operator="equal">
      <formula>"Falla"</formula>
    </cfRule>
    <cfRule type="cellIs" dxfId="831" priority="288" stopIfTrue="1" operator="equal">
      <formula>"Pasa"</formula>
    </cfRule>
    <cfRule type="expression" dxfId="830" priority="287" stopIfTrue="1">
      <formula>ISBLANK(D437)</formula>
    </cfRule>
    <cfRule type="cellIs" dxfId="829" priority="286" stopIfTrue="1" operator="equal">
      <formula>"-"</formula>
    </cfRule>
  </conditionalFormatting>
  <conditionalFormatting sqref="D475:D509">
    <cfRule type="expression" dxfId="828" priority="280" stopIfTrue="1">
      <formula>ISBLANK(D475)</formula>
    </cfRule>
    <cfRule type="cellIs" dxfId="827" priority="284" stopIfTrue="1" operator="equal">
      <formula>"N/T"</formula>
    </cfRule>
    <cfRule type="cellIs" dxfId="826" priority="285" stopIfTrue="1" operator="equal">
      <formula>"N/D"</formula>
    </cfRule>
    <cfRule type="cellIs" dxfId="825" priority="279" stopIfTrue="1" operator="equal">
      <formula>"-"</formula>
    </cfRule>
    <cfRule type="cellIs" dxfId="824" priority="283" stopIfTrue="1" operator="equal">
      <formula>"N/A"</formula>
    </cfRule>
    <cfRule type="cellIs" dxfId="823" priority="282" stopIfTrue="1" operator="equal">
      <formula>"Falla"</formula>
    </cfRule>
    <cfRule type="cellIs" dxfId="822" priority="281" stopIfTrue="1" operator="equal">
      <formula>"Pasa"</formula>
    </cfRule>
  </conditionalFormatting>
  <conditionalFormatting sqref="D513:D547">
    <cfRule type="cellIs" dxfId="821" priority="278" stopIfTrue="1" operator="equal">
      <formula>"N/D"</formula>
    </cfRule>
    <cfRule type="cellIs" dxfId="820" priority="277" stopIfTrue="1" operator="equal">
      <formula>"N/T"</formula>
    </cfRule>
    <cfRule type="cellIs" dxfId="819" priority="276" stopIfTrue="1" operator="equal">
      <formula>"N/A"</formula>
    </cfRule>
    <cfRule type="cellIs" dxfId="818" priority="275" stopIfTrue="1" operator="equal">
      <formula>"Falla"</formula>
    </cfRule>
    <cfRule type="cellIs" dxfId="817" priority="274" stopIfTrue="1" operator="equal">
      <formula>"Pasa"</formula>
    </cfRule>
    <cfRule type="expression" dxfId="816" priority="273" stopIfTrue="1">
      <formula>ISBLANK(D513)</formula>
    </cfRule>
    <cfRule type="cellIs" dxfId="815" priority="272" stopIfTrue="1" operator="equal">
      <formula>"-"</formula>
    </cfRule>
  </conditionalFormatting>
  <conditionalFormatting sqref="D551:D585">
    <cfRule type="cellIs" dxfId="814" priority="271" stopIfTrue="1" operator="equal">
      <formula>"N/D"</formula>
    </cfRule>
    <cfRule type="cellIs" dxfId="813" priority="270" stopIfTrue="1" operator="equal">
      <formula>"N/T"</formula>
    </cfRule>
    <cfRule type="cellIs" dxfId="812" priority="269" stopIfTrue="1" operator="equal">
      <formula>"N/A"</formula>
    </cfRule>
    <cfRule type="cellIs" dxfId="811" priority="268" stopIfTrue="1" operator="equal">
      <formula>"Falla"</formula>
    </cfRule>
    <cfRule type="cellIs" dxfId="810" priority="267" stopIfTrue="1" operator="equal">
      <formula>"Pasa"</formula>
    </cfRule>
    <cfRule type="expression" dxfId="809" priority="266" stopIfTrue="1">
      <formula>ISBLANK(D551)</formula>
    </cfRule>
    <cfRule type="cellIs" dxfId="808" priority="265" stopIfTrue="1" operator="equal">
      <formula>"-"</formula>
    </cfRule>
  </conditionalFormatting>
  <conditionalFormatting sqref="D589:D623">
    <cfRule type="cellIs" dxfId="807" priority="258" stopIfTrue="1" operator="equal">
      <formula>"-"</formula>
    </cfRule>
    <cfRule type="cellIs" dxfId="806" priority="262" stopIfTrue="1" operator="equal">
      <formula>"N/A"</formula>
    </cfRule>
    <cfRule type="cellIs" dxfId="805" priority="264" stopIfTrue="1" operator="equal">
      <formula>"N/D"</formula>
    </cfRule>
    <cfRule type="cellIs" dxfId="804" priority="261" stopIfTrue="1" operator="equal">
      <formula>"Falla"</formula>
    </cfRule>
    <cfRule type="cellIs" dxfId="803" priority="263" stopIfTrue="1" operator="equal">
      <formula>"N/T"</formula>
    </cfRule>
    <cfRule type="expression" dxfId="802" priority="259" stopIfTrue="1">
      <formula>ISBLANK(D589)</formula>
    </cfRule>
    <cfRule type="cellIs" dxfId="801" priority="260" stopIfTrue="1" operator="equal">
      <formula>"Pasa"</formula>
    </cfRule>
  </conditionalFormatting>
  <conditionalFormatting sqref="D627:D661">
    <cfRule type="cellIs" dxfId="800" priority="253" stopIfTrue="1" operator="equal">
      <formula>"Pasa"</formula>
    </cfRule>
    <cfRule type="cellIs" dxfId="799" priority="251" stopIfTrue="1" operator="equal">
      <formula>"-"</formula>
    </cfRule>
    <cfRule type="expression" dxfId="798" priority="252" stopIfTrue="1">
      <formula>ISBLANK(D627)</formula>
    </cfRule>
    <cfRule type="cellIs" dxfId="797" priority="255" stopIfTrue="1" operator="equal">
      <formula>"N/A"</formula>
    </cfRule>
    <cfRule type="cellIs" dxfId="796" priority="256" stopIfTrue="1" operator="equal">
      <formula>"N/T"</formula>
    </cfRule>
    <cfRule type="cellIs" dxfId="795" priority="257" stopIfTrue="1" operator="equal">
      <formula>"N/D"</formula>
    </cfRule>
    <cfRule type="cellIs" dxfId="794" priority="254" stopIfTrue="1" operator="equal">
      <formula>"Falla"</formula>
    </cfRule>
  </conditionalFormatting>
  <conditionalFormatting sqref="D665:D699">
    <cfRule type="cellIs" dxfId="793" priority="249" stopIfTrue="1" operator="equal">
      <formula>"N/T"</formula>
    </cfRule>
    <cfRule type="cellIs" dxfId="792" priority="248" stopIfTrue="1" operator="equal">
      <formula>"N/A"</formula>
    </cfRule>
    <cfRule type="cellIs" dxfId="791" priority="250" stopIfTrue="1" operator="equal">
      <formula>"N/D"</formula>
    </cfRule>
    <cfRule type="cellIs" dxfId="790" priority="247" stopIfTrue="1" operator="equal">
      <formula>"Falla"</formula>
    </cfRule>
    <cfRule type="cellIs" dxfId="789" priority="246" stopIfTrue="1" operator="equal">
      <formula>"Pasa"</formula>
    </cfRule>
    <cfRule type="cellIs" dxfId="788" priority="244" stopIfTrue="1" operator="equal">
      <formula>"-"</formula>
    </cfRule>
    <cfRule type="expression" dxfId="787" priority="245" stopIfTrue="1">
      <formula>ISBLANK(D665)</formula>
    </cfRule>
  </conditionalFormatting>
  <conditionalFormatting sqref="D703:D737">
    <cfRule type="cellIs" dxfId="786" priority="243" stopIfTrue="1" operator="equal">
      <formula>"N/D"</formula>
    </cfRule>
    <cfRule type="cellIs" dxfId="785" priority="242" stopIfTrue="1" operator="equal">
      <formula>"N/T"</formula>
    </cfRule>
    <cfRule type="cellIs" dxfId="784" priority="241" stopIfTrue="1" operator="equal">
      <formula>"N/A"</formula>
    </cfRule>
    <cfRule type="cellIs" dxfId="783" priority="240" stopIfTrue="1" operator="equal">
      <formula>"Falla"</formula>
    </cfRule>
    <cfRule type="cellIs" dxfId="782" priority="239" stopIfTrue="1" operator="equal">
      <formula>"Pasa"</formula>
    </cfRule>
    <cfRule type="expression" dxfId="781" priority="238" stopIfTrue="1">
      <formula>ISBLANK(D703)</formula>
    </cfRule>
    <cfRule type="cellIs" dxfId="780" priority="237" stopIfTrue="1" operator="equal">
      <formula>"-"</formula>
    </cfRule>
  </conditionalFormatting>
  <conditionalFormatting sqref="D741:D775">
    <cfRule type="cellIs" dxfId="779" priority="236" stopIfTrue="1" operator="equal">
      <formula>"N/D"</formula>
    </cfRule>
    <cfRule type="cellIs" dxfId="778" priority="235" stopIfTrue="1" operator="equal">
      <formula>"N/T"</formula>
    </cfRule>
    <cfRule type="cellIs" dxfId="777" priority="234" stopIfTrue="1" operator="equal">
      <formula>"N/A"</formula>
    </cfRule>
    <cfRule type="cellIs" dxfId="776" priority="233" stopIfTrue="1" operator="equal">
      <formula>"Falla"</formula>
    </cfRule>
    <cfRule type="cellIs" dxfId="775" priority="232" stopIfTrue="1" operator="equal">
      <formula>"Pasa"</formula>
    </cfRule>
    <cfRule type="expression" dxfId="774" priority="231" stopIfTrue="1">
      <formula>ISBLANK(D741)</formula>
    </cfRule>
    <cfRule type="cellIs" dxfId="773" priority="230" stopIfTrue="1" operator="equal">
      <formula>"-"</formula>
    </cfRule>
  </conditionalFormatting>
  <conditionalFormatting sqref="D779:D813">
    <cfRule type="cellIs" dxfId="772" priority="227" stopIfTrue="1" operator="equal">
      <formula>"N/A"</formula>
    </cfRule>
    <cfRule type="cellIs" dxfId="771" priority="229" stopIfTrue="1" operator="equal">
      <formula>"N/D"</formula>
    </cfRule>
    <cfRule type="cellIs" dxfId="770" priority="228" stopIfTrue="1" operator="equal">
      <formula>"N/T"</formula>
    </cfRule>
    <cfRule type="cellIs" dxfId="769" priority="226" stopIfTrue="1" operator="equal">
      <formula>"Falla"</formula>
    </cfRule>
    <cfRule type="cellIs" dxfId="768" priority="225" stopIfTrue="1" operator="equal">
      <formula>"Pasa"</formula>
    </cfRule>
    <cfRule type="expression" dxfId="767" priority="224" stopIfTrue="1">
      <formula>ISBLANK(D779)</formula>
    </cfRule>
    <cfRule type="cellIs" dxfId="766" priority="223" stopIfTrue="1" operator="equal">
      <formula>"-"</formula>
    </cfRule>
  </conditionalFormatting>
  <conditionalFormatting sqref="D817:D851">
    <cfRule type="cellIs" dxfId="765" priority="222" stopIfTrue="1" operator="equal">
      <formula>"N/D"</formula>
    </cfRule>
    <cfRule type="cellIs" dxfId="764" priority="221" stopIfTrue="1" operator="equal">
      <formula>"N/T"</formula>
    </cfRule>
    <cfRule type="cellIs" dxfId="763" priority="220" stopIfTrue="1" operator="equal">
      <formula>"N/A"</formula>
    </cfRule>
    <cfRule type="cellIs" dxfId="762" priority="219" stopIfTrue="1" operator="equal">
      <formula>"Falla"</formula>
    </cfRule>
    <cfRule type="cellIs" dxfId="761" priority="218" stopIfTrue="1" operator="equal">
      <formula>"Pasa"</formula>
    </cfRule>
    <cfRule type="expression" dxfId="760" priority="217" stopIfTrue="1">
      <formula>ISBLANK(D817)</formula>
    </cfRule>
    <cfRule type="cellIs" dxfId="759" priority="216" stopIfTrue="1" operator="equal">
      <formula>"-"</formula>
    </cfRule>
  </conditionalFormatting>
  <conditionalFormatting sqref="D855:D889">
    <cfRule type="cellIs" dxfId="758" priority="212" stopIfTrue="1" operator="equal">
      <formula>"Falla"</formula>
    </cfRule>
    <cfRule type="cellIs" dxfId="757" priority="213" stopIfTrue="1" operator="equal">
      <formula>"N/A"</formula>
    </cfRule>
    <cfRule type="cellIs" dxfId="756" priority="215" stopIfTrue="1" operator="equal">
      <formula>"N/D"</formula>
    </cfRule>
    <cfRule type="cellIs" dxfId="755" priority="214" stopIfTrue="1" operator="equal">
      <formula>"N/T"</formula>
    </cfRule>
    <cfRule type="cellIs" dxfId="754" priority="209" stopIfTrue="1" operator="equal">
      <formula>"-"</formula>
    </cfRule>
    <cfRule type="expression" dxfId="753" priority="210" stopIfTrue="1">
      <formula>ISBLANK(D855)</formula>
    </cfRule>
    <cfRule type="cellIs" dxfId="752" priority="211" stopIfTrue="1" operator="equal">
      <formula>"Pasa"</formula>
    </cfRule>
  </conditionalFormatting>
  <conditionalFormatting sqref="D893:D927">
    <cfRule type="expression" dxfId="751" priority="203" stopIfTrue="1">
      <formula>ISBLANK(D893)</formula>
    </cfRule>
    <cfRule type="cellIs" dxfId="750" priority="202" stopIfTrue="1" operator="equal">
      <formula>"-"</formula>
    </cfRule>
    <cfRule type="cellIs" dxfId="749" priority="204" stopIfTrue="1" operator="equal">
      <formula>"Pasa"</formula>
    </cfRule>
    <cfRule type="cellIs" dxfId="748" priority="205" stopIfTrue="1" operator="equal">
      <formula>"Falla"</formula>
    </cfRule>
    <cfRule type="cellIs" dxfId="747" priority="206" stopIfTrue="1" operator="equal">
      <formula>"N/A"</formula>
    </cfRule>
    <cfRule type="cellIs" dxfId="746" priority="207" stopIfTrue="1" operator="equal">
      <formula>"N/T"</formula>
    </cfRule>
    <cfRule type="cellIs" dxfId="745" priority="208" stopIfTrue="1" operator="equal">
      <formula>"N/D"</formula>
    </cfRule>
  </conditionalFormatting>
  <conditionalFormatting sqref="D931:D965">
    <cfRule type="cellIs" dxfId="744" priority="195" stopIfTrue="1" operator="equal">
      <formula>"-"</formula>
    </cfRule>
    <cfRule type="expression" dxfId="743" priority="196" stopIfTrue="1">
      <formula>ISBLANK(D931)</formula>
    </cfRule>
    <cfRule type="cellIs" dxfId="742" priority="197" stopIfTrue="1" operator="equal">
      <formula>"Pasa"</formula>
    </cfRule>
    <cfRule type="cellIs" dxfId="741" priority="198" stopIfTrue="1" operator="equal">
      <formula>"Falla"</formula>
    </cfRule>
    <cfRule type="cellIs" dxfId="740" priority="199" stopIfTrue="1" operator="equal">
      <formula>"N/A"</formula>
    </cfRule>
    <cfRule type="cellIs" dxfId="739" priority="200" stopIfTrue="1" operator="equal">
      <formula>"N/T"</formula>
    </cfRule>
    <cfRule type="cellIs" dxfId="738" priority="201" stopIfTrue="1" operator="equal">
      <formula>"N/D"</formula>
    </cfRule>
  </conditionalFormatting>
  <conditionalFormatting sqref="D969:D1003">
    <cfRule type="cellIs" dxfId="737" priority="188" stopIfTrue="1" operator="equal">
      <formula>"-"</formula>
    </cfRule>
    <cfRule type="cellIs" dxfId="736" priority="194" stopIfTrue="1" operator="equal">
      <formula>"N/D"</formula>
    </cfRule>
    <cfRule type="cellIs" dxfId="735" priority="193" stopIfTrue="1" operator="equal">
      <formula>"N/T"</formula>
    </cfRule>
    <cfRule type="cellIs" dxfId="734" priority="192" stopIfTrue="1" operator="equal">
      <formula>"N/A"</formula>
    </cfRule>
    <cfRule type="cellIs" dxfId="733" priority="191" stopIfTrue="1" operator="equal">
      <formula>"Falla"</formula>
    </cfRule>
    <cfRule type="cellIs" dxfId="732" priority="190" stopIfTrue="1" operator="equal">
      <formula>"Pasa"</formula>
    </cfRule>
    <cfRule type="expression" dxfId="731" priority="189" stopIfTrue="1">
      <formula>ISBLANK(D969)</formula>
    </cfRule>
  </conditionalFormatting>
  <conditionalFormatting sqref="D1007:D1041">
    <cfRule type="cellIs" dxfId="730" priority="181" stopIfTrue="1" operator="equal">
      <formula>"-"</formula>
    </cfRule>
  </conditionalFormatting>
  <conditionalFormatting sqref="D1007:D1042">
    <cfRule type="cellIs" dxfId="729" priority="184" stopIfTrue="1" operator="equal">
      <formula>"Falla"</formula>
    </cfRule>
    <cfRule type="cellIs" dxfId="728" priority="187" stopIfTrue="1" operator="equal">
      <formula>"N/D"</formula>
    </cfRule>
    <cfRule type="cellIs" dxfId="727" priority="186" stopIfTrue="1" operator="equal">
      <formula>"N/T"</formula>
    </cfRule>
    <cfRule type="cellIs" dxfId="726" priority="185" stopIfTrue="1" operator="equal">
      <formula>"N/A"</formula>
    </cfRule>
    <cfRule type="cellIs" dxfId="725" priority="183" stopIfTrue="1" operator="equal">
      <formula>"Pasa"</formula>
    </cfRule>
    <cfRule type="expression" dxfId="724" priority="182" stopIfTrue="1">
      <formula>ISBLANK(D1007)</formula>
    </cfRule>
  </conditionalFormatting>
  <conditionalFormatting sqref="D1045:D1079">
    <cfRule type="cellIs" dxfId="723" priority="180" stopIfTrue="1" operator="equal">
      <formula>"N/D"</formula>
    </cfRule>
    <cfRule type="cellIs" dxfId="722" priority="179" stopIfTrue="1" operator="equal">
      <formula>"N/T"</formula>
    </cfRule>
    <cfRule type="cellIs" dxfId="721" priority="178" stopIfTrue="1" operator="equal">
      <formula>"N/A"</formula>
    </cfRule>
    <cfRule type="cellIs" dxfId="720" priority="177" stopIfTrue="1" operator="equal">
      <formula>"Falla"</formula>
    </cfRule>
    <cfRule type="cellIs" dxfId="719" priority="176" stopIfTrue="1" operator="equal">
      <formula>"Pasa"</formula>
    </cfRule>
    <cfRule type="expression" dxfId="718" priority="175" stopIfTrue="1">
      <formula>ISBLANK(D1045)</formula>
    </cfRule>
    <cfRule type="cellIs" dxfId="717" priority="174" stopIfTrue="1" operator="equal">
      <formula>"-"</formula>
    </cfRule>
  </conditionalFormatting>
  <conditionalFormatting sqref="D1083:D1117">
    <cfRule type="cellIs" dxfId="716" priority="173" stopIfTrue="1" operator="equal">
      <formula>"N/D"</formula>
    </cfRule>
    <cfRule type="cellIs" dxfId="715" priority="172" stopIfTrue="1" operator="equal">
      <formula>"N/T"</formula>
    </cfRule>
    <cfRule type="cellIs" dxfId="714" priority="171" stopIfTrue="1" operator="equal">
      <formula>"N/A"</formula>
    </cfRule>
    <cfRule type="cellIs" dxfId="713" priority="170" stopIfTrue="1" operator="equal">
      <formula>"Falla"</formula>
    </cfRule>
    <cfRule type="cellIs" dxfId="712" priority="169" stopIfTrue="1" operator="equal">
      <formula>"Pasa"</formula>
    </cfRule>
    <cfRule type="expression" dxfId="711" priority="168" stopIfTrue="1">
      <formula>ISBLANK(D1083)</formula>
    </cfRule>
    <cfRule type="cellIs" dxfId="710" priority="167" stopIfTrue="1" operator="equal">
      <formula>"-"</formula>
    </cfRule>
  </conditionalFormatting>
  <conditionalFormatting sqref="D1121:D1155">
    <cfRule type="cellIs" dxfId="709" priority="166" stopIfTrue="1" operator="equal">
      <formula>"N/D"</formula>
    </cfRule>
    <cfRule type="cellIs" dxfId="708" priority="165" stopIfTrue="1" operator="equal">
      <formula>"N/T"</formula>
    </cfRule>
    <cfRule type="cellIs" dxfId="707" priority="164" stopIfTrue="1" operator="equal">
      <formula>"N/A"</formula>
    </cfRule>
    <cfRule type="cellIs" dxfId="706" priority="163" stopIfTrue="1" operator="equal">
      <formula>"Falla"</formula>
    </cfRule>
    <cfRule type="cellIs" dxfId="705" priority="162" stopIfTrue="1" operator="equal">
      <formula>"Pasa"</formula>
    </cfRule>
    <cfRule type="expression" dxfId="704" priority="161" stopIfTrue="1">
      <formula>ISBLANK(D1121)</formula>
    </cfRule>
    <cfRule type="cellIs" dxfId="703" priority="160" stopIfTrue="1" operator="equal">
      <formula>"-"</formula>
    </cfRule>
  </conditionalFormatting>
  <conditionalFormatting sqref="D1159:D1193">
    <cfRule type="cellIs" dxfId="702" priority="159" stopIfTrue="1" operator="equal">
      <formula>"N/D"</formula>
    </cfRule>
    <cfRule type="cellIs" dxfId="701" priority="158" stopIfTrue="1" operator="equal">
      <formula>"N/T"</formula>
    </cfRule>
    <cfRule type="cellIs" dxfId="700" priority="157" stopIfTrue="1" operator="equal">
      <formula>"N/A"</formula>
    </cfRule>
    <cfRule type="cellIs" dxfId="699" priority="156" stopIfTrue="1" operator="equal">
      <formula>"Falla"</formula>
    </cfRule>
    <cfRule type="cellIs" dxfId="698" priority="155" stopIfTrue="1" operator="equal">
      <formula>"Pasa"</formula>
    </cfRule>
    <cfRule type="expression" dxfId="697" priority="154" stopIfTrue="1">
      <formula>ISBLANK(D1159)</formula>
    </cfRule>
    <cfRule type="cellIs" dxfId="696" priority="153" stopIfTrue="1" operator="equal">
      <formula>"-"</formula>
    </cfRule>
  </conditionalFormatting>
  <conditionalFormatting sqref="D1197:D1231">
    <cfRule type="cellIs" dxfId="695" priority="149" stopIfTrue="1" operator="equal">
      <formula>"Falla"</formula>
    </cfRule>
    <cfRule type="cellIs" dxfId="694" priority="146" stopIfTrue="1" operator="equal">
      <formula>"-"</formula>
    </cfRule>
    <cfRule type="expression" dxfId="693" priority="147" stopIfTrue="1">
      <formula>ISBLANK(D1197)</formula>
    </cfRule>
    <cfRule type="cellIs" dxfId="692" priority="148" stopIfTrue="1" operator="equal">
      <formula>"Pasa"</formula>
    </cfRule>
    <cfRule type="cellIs" dxfId="691" priority="152" stopIfTrue="1" operator="equal">
      <formula>"N/D"</formula>
    </cfRule>
    <cfRule type="cellIs" dxfId="690" priority="151" stopIfTrue="1" operator="equal">
      <formula>"N/T"</formula>
    </cfRule>
    <cfRule type="cellIs" dxfId="689" priority="150" stopIfTrue="1" operator="equal">
      <formula>"N/A"</formula>
    </cfRule>
  </conditionalFormatting>
  <conditionalFormatting sqref="D1235:D1269">
    <cfRule type="cellIs" dxfId="688" priority="139" stopIfTrue="1" operator="equal">
      <formula>"-"</formula>
    </cfRule>
    <cfRule type="expression" dxfId="687" priority="140" stopIfTrue="1">
      <formula>ISBLANK(D1235)</formula>
    </cfRule>
    <cfRule type="cellIs" dxfId="686" priority="141" stopIfTrue="1" operator="equal">
      <formula>"Pasa"</formula>
    </cfRule>
    <cfRule type="cellIs" dxfId="685" priority="142" stopIfTrue="1" operator="equal">
      <formula>"Falla"</formula>
    </cfRule>
    <cfRule type="cellIs" dxfId="684" priority="143" stopIfTrue="1" operator="equal">
      <formula>"N/A"</formula>
    </cfRule>
    <cfRule type="cellIs" dxfId="683" priority="144" stopIfTrue="1" operator="equal">
      <formula>"N/T"</formula>
    </cfRule>
    <cfRule type="cellIs" dxfId="682" priority="145" stopIfTrue="1" operator="equal">
      <formula>"N/D"</formula>
    </cfRule>
  </conditionalFormatting>
  <conditionalFormatting sqref="D1273:D1307">
    <cfRule type="cellIs" dxfId="681" priority="136" stopIfTrue="1" operator="equal">
      <formula>"N/A"</formula>
    </cfRule>
    <cfRule type="cellIs" dxfId="680" priority="137" stopIfTrue="1" operator="equal">
      <formula>"N/T"</formula>
    </cfRule>
    <cfRule type="cellIs" dxfId="679" priority="138" stopIfTrue="1" operator="equal">
      <formula>"N/D"</formula>
    </cfRule>
    <cfRule type="cellIs" dxfId="678" priority="135" stopIfTrue="1" operator="equal">
      <formula>"Falla"</formula>
    </cfRule>
    <cfRule type="cellIs" dxfId="677" priority="134" stopIfTrue="1" operator="equal">
      <formula>"Pasa"</formula>
    </cfRule>
    <cfRule type="expression" dxfId="676" priority="133" stopIfTrue="1">
      <formula>ISBLANK(D1273)</formula>
    </cfRule>
    <cfRule type="cellIs" dxfId="675" priority="132" stopIfTrue="1" operator="equal">
      <formula>"-"</formula>
    </cfRule>
  </conditionalFormatting>
  <conditionalFormatting sqref="D1311:D1345">
    <cfRule type="cellIs" dxfId="674" priority="131" stopIfTrue="1" operator="equal">
      <formula>"N/D"</formula>
    </cfRule>
    <cfRule type="cellIs" dxfId="673" priority="130" stopIfTrue="1" operator="equal">
      <formula>"N/T"</formula>
    </cfRule>
    <cfRule type="cellIs" dxfId="672" priority="129" stopIfTrue="1" operator="equal">
      <formula>"N/A"</formula>
    </cfRule>
    <cfRule type="cellIs" dxfId="671" priority="128" stopIfTrue="1" operator="equal">
      <formula>"Falla"</formula>
    </cfRule>
    <cfRule type="cellIs" dxfId="670" priority="127" stopIfTrue="1" operator="equal">
      <formula>"Pasa"</formula>
    </cfRule>
    <cfRule type="expression" dxfId="669" priority="126" stopIfTrue="1">
      <formula>ISBLANK(D1311)</formula>
    </cfRule>
    <cfRule type="cellIs" dxfId="668" priority="125" stopIfTrue="1" operator="equal">
      <formula>"-"</formula>
    </cfRule>
  </conditionalFormatting>
  <conditionalFormatting sqref="D1349:D1383">
    <cfRule type="cellIs" dxfId="667" priority="122" stopIfTrue="1" operator="equal">
      <formula>"N/A"</formula>
    </cfRule>
    <cfRule type="cellIs" dxfId="666" priority="123" stopIfTrue="1" operator="equal">
      <formula>"N/T"</formula>
    </cfRule>
    <cfRule type="cellIs" dxfId="665" priority="124" stopIfTrue="1" operator="equal">
      <formula>"N/D"</formula>
    </cfRule>
    <cfRule type="cellIs" dxfId="664" priority="118" stopIfTrue="1" operator="equal">
      <formula>"-"</formula>
    </cfRule>
    <cfRule type="expression" dxfId="663" priority="119" stopIfTrue="1">
      <formula>ISBLANK(D1349)</formula>
    </cfRule>
    <cfRule type="cellIs" dxfId="662" priority="120" stopIfTrue="1" operator="equal">
      <formula>"Pasa"</formula>
    </cfRule>
    <cfRule type="cellIs" dxfId="661" priority="121" stopIfTrue="1" operator="equal">
      <formula>"Falla"</formula>
    </cfRule>
  </conditionalFormatting>
  <conditionalFormatting sqref="D1387:D1421">
    <cfRule type="cellIs" dxfId="660" priority="111" stopIfTrue="1" operator="equal">
      <formula>"-"</formula>
    </cfRule>
    <cfRule type="cellIs" dxfId="659" priority="115" stopIfTrue="1" operator="equal">
      <formula>"N/A"</formula>
    </cfRule>
    <cfRule type="expression" dxfId="658" priority="112" stopIfTrue="1">
      <formula>ISBLANK(D1387)</formula>
    </cfRule>
    <cfRule type="cellIs" dxfId="657" priority="113" stopIfTrue="1" operator="equal">
      <formula>"Pasa"</formula>
    </cfRule>
    <cfRule type="cellIs" dxfId="656" priority="114" stopIfTrue="1" operator="equal">
      <formula>"Falla"</formula>
    </cfRule>
    <cfRule type="cellIs" dxfId="655" priority="116" stopIfTrue="1" operator="equal">
      <formula>"N/T"</formula>
    </cfRule>
    <cfRule type="cellIs" dxfId="654" priority="117" stopIfTrue="1" operator="equal">
      <formula>"N/D"</formula>
    </cfRule>
  </conditionalFormatting>
  <conditionalFormatting sqref="D1425:D1459">
    <cfRule type="cellIs" dxfId="653" priority="110" stopIfTrue="1" operator="equal">
      <formula>"N/D"</formula>
    </cfRule>
    <cfRule type="cellIs" dxfId="652" priority="109" stopIfTrue="1" operator="equal">
      <formula>"N/T"</formula>
    </cfRule>
    <cfRule type="cellIs" dxfId="651" priority="108" stopIfTrue="1" operator="equal">
      <formula>"N/A"</formula>
    </cfRule>
    <cfRule type="cellIs" dxfId="650" priority="107" stopIfTrue="1" operator="equal">
      <formula>"Falla"</formula>
    </cfRule>
    <cfRule type="cellIs" dxfId="649" priority="106" stopIfTrue="1" operator="equal">
      <formula>"Pasa"</formula>
    </cfRule>
    <cfRule type="cellIs" dxfId="648" priority="104" stopIfTrue="1" operator="equal">
      <formula>"-"</formula>
    </cfRule>
    <cfRule type="expression" dxfId="647" priority="105" stopIfTrue="1">
      <formula>ISBLANK(D1425)</formula>
    </cfRule>
  </conditionalFormatting>
  <conditionalFormatting sqref="D1463:D1497">
    <cfRule type="cellIs" dxfId="646" priority="99" stopIfTrue="1" operator="equal">
      <formula>"Pasa"</formula>
    </cfRule>
    <cfRule type="cellIs" dxfId="645" priority="103" stopIfTrue="1" operator="equal">
      <formula>"N/D"</formula>
    </cfRule>
    <cfRule type="cellIs" dxfId="644" priority="102" stopIfTrue="1" operator="equal">
      <formula>"N/T"</formula>
    </cfRule>
    <cfRule type="cellIs" dxfId="643" priority="101" stopIfTrue="1" operator="equal">
      <formula>"N/A"</formula>
    </cfRule>
    <cfRule type="cellIs" dxfId="642" priority="100" stopIfTrue="1" operator="equal">
      <formula>"Falla"</formula>
    </cfRule>
    <cfRule type="expression" dxfId="641" priority="98" stopIfTrue="1">
      <formula>ISBLANK(D1463)</formula>
    </cfRule>
    <cfRule type="cellIs" dxfId="640" priority="97" stopIfTrue="1" operator="equal">
      <formula>"-"</formula>
    </cfRule>
  </conditionalFormatting>
  <conditionalFormatting sqref="D1501:D1535">
    <cfRule type="cellIs" dxfId="639" priority="96" stopIfTrue="1" operator="equal">
      <formula>"N/D"</formula>
    </cfRule>
    <cfRule type="cellIs" dxfId="638" priority="95" stopIfTrue="1" operator="equal">
      <formula>"N/T"</formula>
    </cfRule>
    <cfRule type="cellIs" dxfId="637" priority="94" stopIfTrue="1" operator="equal">
      <formula>"N/A"</formula>
    </cfRule>
    <cfRule type="cellIs" dxfId="636" priority="93" stopIfTrue="1" operator="equal">
      <formula>"Falla"</formula>
    </cfRule>
    <cfRule type="cellIs" dxfId="635" priority="92" stopIfTrue="1" operator="equal">
      <formula>"Pasa"</formula>
    </cfRule>
    <cfRule type="cellIs" dxfId="634" priority="90" stopIfTrue="1" operator="equal">
      <formula>"-"</formula>
    </cfRule>
    <cfRule type="expression" dxfId="633" priority="91" stopIfTrue="1">
      <formula>ISBLANK(D1501)</formula>
    </cfRule>
  </conditionalFormatting>
  <conditionalFormatting sqref="D1539:D1573">
    <cfRule type="cellIs" dxfId="632" priority="83" stopIfTrue="1" operator="equal">
      <formula>"-"</formula>
    </cfRule>
    <cfRule type="cellIs" dxfId="631" priority="89" stopIfTrue="1" operator="equal">
      <formula>"N/D"</formula>
    </cfRule>
    <cfRule type="cellIs" dxfId="630" priority="88" stopIfTrue="1" operator="equal">
      <formula>"N/T"</formula>
    </cfRule>
    <cfRule type="cellIs" dxfId="629" priority="87" stopIfTrue="1" operator="equal">
      <formula>"N/A"</formula>
    </cfRule>
    <cfRule type="cellIs" dxfId="628" priority="86" stopIfTrue="1" operator="equal">
      <formula>"Falla"</formula>
    </cfRule>
    <cfRule type="cellIs" dxfId="627" priority="85" stopIfTrue="1" operator="equal">
      <formula>"Pasa"</formula>
    </cfRule>
    <cfRule type="expression" dxfId="626" priority="84" stopIfTrue="1">
      <formula>ISBLANK(D1539)</formula>
    </cfRule>
  </conditionalFormatting>
  <conditionalFormatting sqref="D1577:D1611">
    <cfRule type="cellIs" dxfId="625" priority="82" stopIfTrue="1" operator="equal">
      <formula>"N/D"</formula>
    </cfRule>
    <cfRule type="cellIs" dxfId="624" priority="81" stopIfTrue="1" operator="equal">
      <formula>"N/T"</formula>
    </cfRule>
    <cfRule type="cellIs" dxfId="623" priority="80" stopIfTrue="1" operator="equal">
      <formula>"N/A"</formula>
    </cfRule>
    <cfRule type="cellIs" dxfId="622" priority="79" stopIfTrue="1" operator="equal">
      <formula>"Falla"</formula>
    </cfRule>
    <cfRule type="cellIs" dxfId="621" priority="78" stopIfTrue="1" operator="equal">
      <formula>"Pasa"</formula>
    </cfRule>
    <cfRule type="expression" dxfId="620" priority="77" stopIfTrue="1">
      <formula>ISBLANK(D1577)</formula>
    </cfRule>
    <cfRule type="cellIs" dxfId="619" priority="76" stopIfTrue="1" operator="equal">
      <formula>"-"</formula>
    </cfRule>
  </conditionalFormatting>
  <conditionalFormatting sqref="D1615:D1649">
    <cfRule type="expression" dxfId="618" priority="70" stopIfTrue="1">
      <formula>ISBLANK(D1615)</formula>
    </cfRule>
    <cfRule type="cellIs" dxfId="617" priority="69" stopIfTrue="1" operator="equal">
      <formula>"-"</formula>
    </cfRule>
    <cfRule type="cellIs" dxfId="616" priority="75" stopIfTrue="1" operator="equal">
      <formula>"N/D"</formula>
    </cfRule>
    <cfRule type="cellIs" dxfId="615" priority="74" stopIfTrue="1" operator="equal">
      <formula>"N/T"</formula>
    </cfRule>
    <cfRule type="cellIs" dxfId="614" priority="73" stopIfTrue="1" operator="equal">
      <formula>"N/A"</formula>
    </cfRule>
    <cfRule type="cellIs" dxfId="613" priority="72" stopIfTrue="1" operator="equal">
      <formula>"Falla"</formula>
    </cfRule>
    <cfRule type="cellIs" dxfId="612" priority="71" stopIfTrue="1" operator="equal">
      <formula>"Pasa"</formula>
    </cfRule>
  </conditionalFormatting>
  <conditionalFormatting sqref="D1653:D1687">
    <cfRule type="cellIs" dxfId="611" priority="68" stopIfTrue="1" operator="equal">
      <formula>"N/D"</formula>
    </cfRule>
    <cfRule type="cellIs" dxfId="610" priority="67" stopIfTrue="1" operator="equal">
      <formula>"N/T"</formula>
    </cfRule>
    <cfRule type="cellIs" dxfId="609" priority="66" stopIfTrue="1" operator="equal">
      <formula>"N/A"</formula>
    </cfRule>
    <cfRule type="cellIs" dxfId="608" priority="62" stopIfTrue="1" operator="equal">
      <formula>"-"</formula>
    </cfRule>
    <cfRule type="expression" dxfId="607" priority="63" stopIfTrue="1">
      <formula>ISBLANK(D1653)</formula>
    </cfRule>
    <cfRule type="cellIs" dxfId="606" priority="64" stopIfTrue="1" operator="equal">
      <formula>"Pasa"</formula>
    </cfRule>
    <cfRule type="cellIs" dxfId="605" priority="65" stopIfTrue="1" operator="equal">
      <formula>"Falla"</formula>
    </cfRule>
  </conditionalFormatting>
  <conditionalFormatting sqref="D1691:D1725">
    <cfRule type="cellIs" dxfId="604" priority="57" stopIfTrue="1" operator="equal">
      <formula>"Pasa"</formula>
    </cfRule>
    <cfRule type="cellIs" dxfId="603" priority="59" stopIfTrue="1" operator="equal">
      <formula>"N/A"</formula>
    </cfRule>
    <cfRule type="cellIs" dxfId="602" priority="58" stopIfTrue="1" operator="equal">
      <formula>"Falla"</formula>
    </cfRule>
    <cfRule type="cellIs" dxfId="601" priority="61" stopIfTrue="1" operator="equal">
      <formula>"N/D"</formula>
    </cfRule>
    <cfRule type="cellIs" dxfId="600" priority="60" stopIfTrue="1" operator="equal">
      <formula>"N/T"</formula>
    </cfRule>
    <cfRule type="expression" dxfId="599" priority="56" stopIfTrue="1">
      <formula>ISBLANK(D1691)</formula>
    </cfRule>
    <cfRule type="cellIs" dxfId="598" priority="55" stopIfTrue="1" operator="equal">
      <formula>"-"</formula>
    </cfRule>
  </conditionalFormatting>
  <conditionalFormatting sqref="D1729:D1763">
    <cfRule type="cellIs" dxfId="597" priority="54" stopIfTrue="1" operator="equal">
      <formula>"N/D"</formula>
    </cfRule>
    <cfRule type="cellIs" dxfId="596" priority="53" stopIfTrue="1" operator="equal">
      <formula>"N/T"</formula>
    </cfRule>
    <cfRule type="cellIs" dxfId="595" priority="52" stopIfTrue="1" operator="equal">
      <formula>"N/A"</formula>
    </cfRule>
    <cfRule type="cellIs" dxfId="594" priority="51" stopIfTrue="1" operator="equal">
      <formula>"Falla"</formula>
    </cfRule>
    <cfRule type="cellIs" dxfId="593" priority="50" stopIfTrue="1" operator="equal">
      <formula>"Pasa"</formula>
    </cfRule>
    <cfRule type="expression" dxfId="592" priority="49" stopIfTrue="1">
      <formula>ISBLANK(D1729)</formula>
    </cfRule>
    <cfRule type="cellIs" dxfId="591" priority="48" stopIfTrue="1" operator="equal">
      <formula>"-"</formula>
    </cfRule>
  </conditionalFormatting>
  <conditionalFormatting sqref="D1767:D1801">
    <cfRule type="cellIs" dxfId="590" priority="47" stopIfTrue="1" operator="equal">
      <formula>"N/D"</formula>
    </cfRule>
    <cfRule type="cellIs" dxfId="589" priority="46" stopIfTrue="1" operator="equal">
      <formula>"N/T"</formula>
    </cfRule>
    <cfRule type="cellIs" dxfId="588" priority="45" stopIfTrue="1" operator="equal">
      <formula>"N/A"</formula>
    </cfRule>
    <cfRule type="cellIs" dxfId="587" priority="44" stopIfTrue="1" operator="equal">
      <formula>"Falla"</formula>
    </cfRule>
    <cfRule type="cellIs" dxfId="586" priority="43" stopIfTrue="1" operator="equal">
      <formula>"Pasa"</formula>
    </cfRule>
    <cfRule type="expression" dxfId="585" priority="42" stopIfTrue="1">
      <formula>ISBLANK(D1767)</formula>
    </cfRule>
    <cfRule type="cellIs" dxfId="584" priority="41" stopIfTrue="1" operator="equal">
      <formula>"-"</formula>
    </cfRule>
  </conditionalFormatting>
  <conditionalFormatting sqref="D1805:D1839">
    <cfRule type="cellIs" dxfId="583" priority="40" stopIfTrue="1" operator="equal">
      <formula>"N/D"</formula>
    </cfRule>
    <cfRule type="cellIs" dxfId="582" priority="39" stopIfTrue="1" operator="equal">
      <formula>"N/T"</formula>
    </cfRule>
    <cfRule type="cellIs" dxfId="581" priority="38" stopIfTrue="1" operator="equal">
      <formula>"N/A"</formula>
    </cfRule>
    <cfRule type="cellIs" dxfId="580" priority="37" stopIfTrue="1" operator="equal">
      <formula>"Falla"</formula>
    </cfRule>
    <cfRule type="cellIs" dxfId="579" priority="36" stopIfTrue="1" operator="equal">
      <formula>"Pasa"</formula>
    </cfRule>
    <cfRule type="expression" dxfId="578" priority="35" stopIfTrue="1">
      <formula>ISBLANK(D1805)</formula>
    </cfRule>
    <cfRule type="cellIs" dxfId="577" priority="34" stopIfTrue="1" operator="equal">
      <formula>"-"</formula>
    </cfRule>
  </conditionalFormatting>
  <conditionalFormatting sqref="D1843:D1877">
    <cfRule type="cellIs" dxfId="576" priority="33" stopIfTrue="1" operator="equal">
      <formula>"N/D"</formula>
    </cfRule>
    <cfRule type="cellIs" dxfId="575" priority="32" stopIfTrue="1" operator="equal">
      <formula>"N/T"</formula>
    </cfRule>
    <cfRule type="cellIs" dxfId="574" priority="31" stopIfTrue="1" operator="equal">
      <formula>"N/A"</formula>
    </cfRule>
    <cfRule type="cellIs" dxfId="573" priority="30" stopIfTrue="1" operator="equal">
      <formula>"Falla"</formula>
    </cfRule>
    <cfRule type="cellIs" dxfId="572" priority="29" stopIfTrue="1" operator="equal">
      <formula>"Pasa"</formula>
    </cfRule>
    <cfRule type="expression" dxfId="571" priority="28" stopIfTrue="1">
      <formula>ISBLANK(D1843)</formula>
    </cfRule>
    <cfRule type="cellIs" dxfId="570" priority="27" stopIfTrue="1" operator="equal">
      <formula>"-"</formula>
    </cfRule>
  </conditionalFormatting>
  <conditionalFormatting sqref="D1881:D1915">
    <cfRule type="cellIs" dxfId="569" priority="5" stopIfTrue="1" operator="equal">
      <formula>"N/A"</formula>
    </cfRule>
    <cfRule type="cellIs" dxfId="568" priority="6" stopIfTrue="1" operator="equal">
      <formula>"N/T"</formula>
    </cfRule>
    <cfRule type="cellIs" dxfId="567" priority="7" stopIfTrue="1" operator="equal">
      <formula>"N/D"</formula>
    </cfRule>
    <cfRule type="cellIs" dxfId="566" priority="1" stopIfTrue="1" operator="equal">
      <formula>"-"</formula>
    </cfRule>
    <cfRule type="expression" dxfId="565" priority="2" stopIfTrue="1">
      <formula>ISBLANK(D1881)</formula>
    </cfRule>
    <cfRule type="cellIs" dxfId="564" priority="3" stopIfTrue="1" operator="equal">
      <formula>"Pasa"</formula>
    </cfRule>
    <cfRule type="cellIs" dxfId="563" priority="4" stopIfTrue="1" operator="equal">
      <formula>"Falla"</formula>
    </cfRule>
  </conditionalFormatting>
  <conditionalFormatting sqref="E19:E53 E57:E91 E95:E129 E133:E167 E171:E205 E209:E243 E247:E281 E285:E319 E323:E357 E361:E395 E399:E433 E437:E471 E475:E509 E513:E547 E551:E585 E589:E623 E627:E661 E665:E699 E703:E737">
    <cfRule type="cellIs" dxfId="562" priority="733" stopIfTrue="1" operator="equal">
      <formula>"ERR"</formula>
    </cfRule>
  </conditionalFormatting>
  <conditionalFormatting sqref="E741:E775 E779:E813 E817:E851 E855:E889 E893:E927 E931:E965 E1045:E1079 E1083:E1117 E1159:E1193 E1197:E1231 E1235:E1269 E1273:E1307 E1311:E1345 E1349:E1383">
    <cfRule type="cellIs" dxfId="561" priority="612" stopIfTrue="1" operator="equal">
      <formula>"ERR"</formula>
    </cfRule>
  </conditionalFormatting>
  <conditionalFormatting sqref="E969:E1003 E1007:E1042">
    <cfRule type="cellIs" dxfId="560" priority="453" stopIfTrue="1" operator="equal">
      <formula>"ERR"</formula>
    </cfRule>
  </conditionalFormatting>
  <conditionalFormatting sqref="E1121:E1155">
    <cfRule type="cellIs" dxfId="559" priority="434" stopIfTrue="1" operator="equal">
      <formula>"ERR"</formula>
    </cfRule>
  </conditionalFormatting>
  <conditionalFormatting sqref="E1387:E1421 E1463:E1497 E1501:E1535 E1615:E1649 E1653:E1687 E1691:E1725 E1729:E1763">
    <cfRule type="cellIs" dxfId="558" priority="521" operator="equal">
      <formula>"ERR"</formula>
    </cfRule>
  </conditionalFormatting>
  <conditionalFormatting sqref="E1425:E1459">
    <cfRule type="cellIs" dxfId="557" priority="421" operator="equal">
      <formula>"ERR"</formula>
    </cfRule>
  </conditionalFormatting>
  <conditionalFormatting sqref="E1539:E1573 E1577:E1611">
    <cfRule type="cellIs" dxfId="556" priority="408" operator="equal">
      <formula>"ERR"</formula>
    </cfRule>
  </conditionalFormatting>
  <conditionalFormatting sqref="E1767:E1801 E1805:E1839">
    <cfRule type="cellIs" dxfId="555" priority="472" stopIfTrue="1" operator="equal">
      <formula>"ERR"</formula>
    </cfRule>
  </conditionalFormatting>
  <conditionalFormatting sqref="E1843:E1877">
    <cfRule type="cellIs" dxfId="554" priority="389" stopIfTrue="1" operator="equal">
      <formula>"ERR"</formula>
    </cfRule>
  </conditionalFormatting>
  <conditionalFormatting sqref="E1881:E1915">
    <cfRule type="cellIs" dxfId="55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552" priority="727" stopIfTrue="1">
      <formula>ISBLANK(F19)</formula>
    </cfRule>
    <cfRule type="cellIs" dxfId="551" priority="728" stopIfTrue="1" operator="equal">
      <formula>"Pasa"</formula>
    </cfRule>
    <cfRule type="cellIs" dxfId="550" priority="729" stopIfTrue="1" operator="equal">
      <formula>"Falla"</formula>
    </cfRule>
    <cfRule type="cellIs" dxfId="549" priority="730" stopIfTrue="1" operator="equal">
      <formula>"N/A"</formula>
    </cfRule>
    <cfRule type="cellIs" dxfId="548" priority="731" stopIfTrue="1" operator="equal">
      <formula>"N/T"</formula>
    </cfRule>
    <cfRule type="cellIs" dxfId="547" priority="732" stopIfTrue="1" operator="equal">
      <formula>"N/D"</formula>
    </cfRule>
  </conditionalFormatting>
  <conditionalFormatting sqref="K23:K24">
    <cfRule type="cellIs" dxfId="546" priority="18" stopIfTrue="1" operator="equal">
      <formula>"N/A"</formula>
    </cfRule>
    <cfRule type="cellIs" dxfId="545" priority="17" stopIfTrue="1" operator="equal">
      <formula>"Falla"</formula>
    </cfRule>
    <cfRule type="cellIs" dxfId="544" priority="16" stopIfTrue="1" operator="equal">
      <formula>"Pasa"</formula>
    </cfRule>
    <cfRule type="expression" dxfId="543" priority="15" stopIfTrue="1">
      <formula>ISBLANK(K23)</formula>
    </cfRule>
    <cfRule type="cellIs" dxfId="542" priority="20" stopIfTrue="1" operator="equal">
      <formula>"N/D"</formula>
    </cfRule>
    <cfRule type="cellIs" dxfId="541" priority="19"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80" zoomScaleNormal="80" workbookViewId="0">
      <selection activeCell="N2" sqref="N2"/>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9.906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165</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3"/>
      <c r="C6" s="133"/>
      <c r="D6" s="133"/>
      <c r="E6" s="134"/>
      <c r="F6" s="133"/>
      <c r="G6" s="133"/>
      <c r="H6" s="133"/>
      <c r="I6" s="133"/>
      <c r="J6" s="133"/>
      <c r="K6" s="133"/>
      <c r="L6" s="133"/>
      <c r="M6" s="133"/>
      <c r="N6" s="18"/>
      <c r="O6" s="18"/>
    </row>
    <row r="7" spans="1:64" ht="12.65" customHeight="1">
      <c r="B7" s="18"/>
      <c r="C7" s="18"/>
      <c r="D7" s="18"/>
      <c r="E7" s="79"/>
      <c r="F7" s="18"/>
      <c r="G7" s="18"/>
      <c r="H7" s="18"/>
      <c r="I7" s="18"/>
      <c r="J7" s="18"/>
      <c r="K7" s="18"/>
      <c r="L7" s="18"/>
      <c r="M7" s="18"/>
      <c r="N7" s="18"/>
      <c r="O7" s="18"/>
    </row>
    <row r="8" spans="1:64" ht="18.899999999999999" customHeight="1">
      <c r="B8" s="232" t="s">
        <v>274</v>
      </c>
      <c r="C8" s="232"/>
      <c r="D8" s="232"/>
      <c r="E8" s="232"/>
      <c r="F8" s="232"/>
      <c r="G8" s="232"/>
      <c r="H8" s="232"/>
      <c r="I8" s="232"/>
      <c r="J8" s="232"/>
      <c r="K8" s="232"/>
      <c r="L8" s="232"/>
      <c r="M8" s="232"/>
      <c r="N8" s="18"/>
      <c r="O8" s="18"/>
    </row>
    <row r="9" spans="1:64" ht="24" customHeight="1">
      <c r="B9" s="231" t="s">
        <v>275</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168</v>
      </c>
      <c r="C11" s="230"/>
      <c r="D11" s="26"/>
      <c r="E11" s="14"/>
      <c r="F11" s="196" t="s">
        <v>169</v>
      </c>
      <c r="G11" s="105" t="s">
        <v>170</v>
      </c>
      <c r="H11" s="197" t="s">
        <v>171</v>
      </c>
      <c r="I11" s="22"/>
      <c r="J11" s="196" t="s">
        <v>172</v>
      </c>
      <c r="K11" s="105" t="s">
        <v>170</v>
      </c>
      <c r="L11" s="197" t="s">
        <v>171</v>
      </c>
      <c r="M11" s="18"/>
      <c r="N11" s="18"/>
      <c r="O11" s="18"/>
      <c r="P11" s="18"/>
      <c r="Q11" s="18"/>
      <c r="R11" s="18"/>
      <c r="U11" s="18"/>
      <c r="V11" s="18"/>
      <c r="W11" s="18"/>
      <c r="X11" s="18"/>
      <c r="Y11" s="18"/>
    </row>
    <row r="12" spans="1:64" ht="12" customHeight="1">
      <c r="B12" s="108" t="s">
        <v>173</v>
      </c>
      <c r="C12" s="198">
        <f>COUNTIF($B$18:$B$3922,B12)</f>
        <v>45</v>
      </c>
      <c r="D12" s="26"/>
      <c r="E12" s="14"/>
      <c r="F12" s="199" t="s">
        <v>174</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3" t="s">
        <v>175</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176</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177</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178</v>
      </c>
      <c r="C14" s="201">
        <f>C12+C13</f>
        <v>45</v>
      </c>
      <c r="D14" s="26"/>
      <c r="E14" s="14"/>
      <c r="F14" s="199" t="s">
        <v>179</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3" t="s">
        <v>180</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178</v>
      </c>
      <c r="G15" s="203">
        <f ca="1">SUM(G12:G14)</f>
        <v>0</v>
      </c>
      <c r="H15" s="204">
        <f ca="1">SUM(H12:H14)</f>
        <v>0</v>
      </c>
      <c r="I15" s="26"/>
      <c r="J15" s="200" t="s">
        <v>178</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181</v>
      </c>
      <c r="B18" s="23" t="s">
        <v>173</v>
      </c>
      <c r="C18" s="24" t="s">
        <v>276</v>
      </c>
      <c r="D18" s="25" t="s">
        <v>183</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t="str">
        <f>IF(AND(B19&lt;&gt;"",C19&lt;&gt;""),"N/T","")</f>
        <v/>
      </c>
      <c r="E19" s="79" t="str">
        <f t="shared" ref="E19:E53" si="0">IF(D19&lt;&gt;"",IF(AND(B19&lt;&gt;"",C19&lt;&gt;""),"","ERR"),"")</f>
        <v/>
      </c>
      <c r="F19" s="86" t="s">
        <v>185</v>
      </c>
      <c r="G19" s="87" t="s">
        <v>186</v>
      </c>
      <c r="H19" s="88" t="s">
        <v>184</v>
      </c>
      <c r="I19" s="89" t="s">
        <v>176</v>
      </c>
      <c r="J19" s="90" t="s">
        <v>174</v>
      </c>
      <c r="K19" s="179" t="s">
        <v>180</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185</v>
      </c>
      <c r="L22" s="92" t="s">
        <v>187</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184</v>
      </c>
      <c r="L23" s="92" t="s">
        <v>188</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186</v>
      </c>
      <c r="L24" s="92" t="s">
        <v>189</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181</v>
      </c>
      <c r="B56" s="23" t="s">
        <v>173</v>
      </c>
      <c r="C56" s="24" t="s">
        <v>277</v>
      </c>
      <c r="D56" s="25" t="s">
        <v>183</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t="str">
        <f>IF(AND(B57&lt;&gt;"",C57&lt;&gt;""),"N/T","")</f>
        <v/>
      </c>
      <c r="E57" s="79" t="str">
        <f t="shared" ref="E57:E91" si="2">IF(D57&lt;&gt;"",IF(AND(B57&lt;&gt;"",C57&lt;&gt;""),"","ERR"),"")</f>
        <v/>
      </c>
      <c r="F57" s="86" t="s">
        <v>185</v>
      </c>
      <c r="G57" s="87" t="s">
        <v>186</v>
      </c>
      <c r="H57" s="88" t="s">
        <v>184</v>
      </c>
      <c r="I57" s="89" t="s">
        <v>176</v>
      </c>
      <c r="J57" s="90" t="s">
        <v>174</v>
      </c>
      <c r="K57" s="179" t="s">
        <v>180</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181</v>
      </c>
      <c r="B94" s="23" t="s">
        <v>173</v>
      </c>
      <c r="C94" s="24" t="s">
        <v>278</v>
      </c>
      <c r="D94" s="25" t="s">
        <v>183</v>
      </c>
      <c r="E94" s="93"/>
      <c r="K94" s="184"/>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t="str">
        <f>IF(AND(B95&lt;&gt;"",C95&lt;&gt;""),"N/T","")</f>
        <v/>
      </c>
      <c r="E95" s="79" t="str">
        <f t="shared" ref="E95:E129" si="4">IF(D95&lt;&gt;"",IF(AND(B95&lt;&gt;"",C95&lt;&gt;""),"","ERR"),"")</f>
        <v/>
      </c>
      <c r="F95" s="86" t="s">
        <v>185</v>
      </c>
      <c r="G95" s="87" t="s">
        <v>186</v>
      </c>
      <c r="H95" s="88" t="s">
        <v>184</v>
      </c>
      <c r="I95" s="89" t="s">
        <v>176</v>
      </c>
      <c r="J95" s="90" t="s">
        <v>174</v>
      </c>
      <c r="K95" s="179" t="s">
        <v>180</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181</v>
      </c>
      <c r="B132" s="23" t="s">
        <v>173</v>
      </c>
      <c r="C132" s="24" t="s">
        <v>279</v>
      </c>
      <c r="D132" s="25" t="s">
        <v>183</v>
      </c>
      <c r="E132" s="93"/>
      <c r="K132" s="184"/>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t="str">
        <f>IF(AND(B133&lt;&gt;"",C133&lt;&gt;""),"N/T","")</f>
        <v/>
      </c>
      <c r="E133" s="79" t="str">
        <f t="shared" ref="E133:E167" si="6">IF(D133&lt;&gt;"",IF(AND(B133&lt;&gt;"",C133&lt;&gt;""),"","ERR"),"")</f>
        <v/>
      </c>
      <c r="F133" s="86" t="s">
        <v>185</v>
      </c>
      <c r="G133" s="87" t="s">
        <v>186</v>
      </c>
      <c r="H133" s="88" t="s">
        <v>184</v>
      </c>
      <c r="I133" s="89" t="s">
        <v>176</v>
      </c>
      <c r="J133" s="90" t="s">
        <v>174</v>
      </c>
      <c r="K133" s="179" t="s">
        <v>180</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181</v>
      </c>
      <c r="B170" s="23" t="s">
        <v>173</v>
      </c>
      <c r="C170" s="24" t="s">
        <v>280</v>
      </c>
      <c r="D170" s="25" t="s">
        <v>183</v>
      </c>
      <c r="E170" s="93"/>
      <c r="K170" s="184"/>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t="str">
        <f>IF(AND(B171&lt;&gt;"",C171&lt;&gt;""),"N/T","")</f>
        <v/>
      </c>
      <c r="E171" s="79" t="str">
        <f t="shared" ref="E171:E205" si="8">IF(D171&lt;&gt;"",IF(AND(B171&lt;&gt;"",C171&lt;&gt;""),"","ERR"),"")</f>
        <v/>
      </c>
      <c r="F171" s="86" t="s">
        <v>185</v>
      </c>
      <c r="G171" s="87" t="s">
        <v>186</v>
      </c>
      <c r="H171" s="88" t="s">
        <v>184</v>
      </c>
      <c r="I171" s="89" t="s">
        <v>176</v>
      </c>
      <c r="J171" s="90" t="s">
        <v>174</v>
      </c>
      <c r="K171" s="179" t="s">
        <v>180</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181</v>
      </c>
      <c r="B208" s="23" t="s">
        <v>173</v>
      </c>
      <c r="C208" s="24" t="s">
        <v>281</v>
      </c>
      <c r="D208" s="25" t="s">
        <v>183</v>
      </c>
      <c r="E208" s="93"/>
      <c r="K208" s="184"/>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t="str">
        <f>IF(AND(B209&lt;&gt;"",C209&lt;&gt;""),"N/T","")</f>
        <v/>
      </c>
      <c r="E209" s="79" t="str">
        <f t="shared" ref="E209:E243" si="10">IF(D209&lt;&gt;"",IF(AND(B209&lt;&gt;"",C209&lt;&gt;""),"","ERR"),"")</f>
        <v/>
      </c>
      <c r="F209" s="86" t="s">
        <v>185</v>
      </c>
      <c r="G209" s="87" t="s">
        <v>186</v>
      </c>
      <c r="H209" s="88" t="s">
        <v>184</v>
      </c>
      <c r="I209" s="89" t="s">
        <v>176</v>
      </c>
      <c r="J209" s="90" t="s">
        <v>174</v>
      </c>
      <c r="K209" s="179" t="s">
        <v>180</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5"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5"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5"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5"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5"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5"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5"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5"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5"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5"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5"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181</v>
      </c>
      <c r="B246" s="23" t="s">
        <v>173</v>
      </c>
      <c r="C246" s="24" t="s">
        <v>282</v>
      </c>
      <c r="D246" s="25" t="s">
        <v>183</v>
      </c>
      <c r="E246" s="93"/>
      <c r="K246" s="184"/>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t="str">
        <f>IF(AND(B247&lt;&gt;"",C247&lt;&gt;""),"N/T","")</f>
        <v/>
      </c>
      <c r="E247" s="79" t="str">
        <f t="shared" ref="E247:E281" si="12">IF(D247&lt;&gt;"",IF(AND(B247&lt;&gt;"",C247&lt;&gt;""),"","ERR"),"")</f>
        <v/>
      </c>
      <c r="F247" s="86" t="s">
        <v>185</v>
      </c>
      <c r="G247" s="87" t="s">
        <v>186</v>
      </c>
      <c r="H247" s="88" t="s">
        <v>184</v>
      </c>
      <c r="I247" s="89" t="s">
        <v>176</v>
      </c>
      <c r="J247" s="90" t="s">
        <v>174</v>
      </c>
      <c r="K247" s="179" t="s">
        <v>180</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5"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5"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5"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5"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5"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5"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5"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5"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5"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5"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5"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181</v>
      </c>
      <c r="B284" s="23" t="s">
        <v>173</v>
      </c>
      <c r="C284" s="24" t="s">
        <v>283</v>
      </c>
      <c r="D284" s="25" t="s">
        <v>183</v>
      </c>
      <c r="E284" s="93"/>
      <c r="K284" s="184"/>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t="str">
        <f>IF(AND(B285&lt;&gt;"",C285&lt;&gt;""),"N/T","")</f>
        <v/>
      </c>
      <c r="E285" s="79" t="str">
        <f t="shared" ref="E285:E319" si="14">IF(D285&lt;&gt;"",IF(AND(B285&lt;&gt;"",C285&lt;&gt;""),"","ERR"),"")</f>
        <v/>
      </c>
      <c r="F285" s="86" t="s">
        <v>185</v>
      </c>
      <c r="G285" s="87" t="s">
        <v>186</v>
      </c>
      <c r="H285" s="88" t="s">
        <v>184</v>
      </c>
      <c r="I285" s="89" t="s">
        <v>176</v>
      </c>
      <c r="J285" s="90" t="s">
        <v>174</v>
      </c>
      <c r="K285" s="179" t="s">
        <v>180</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5"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5"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5"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5"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5"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5"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5"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5"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5"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5"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5"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181</v>
      </c>
      <c r="B322" s="23" t="s">
        <v>173</v>
      </c>
      <c r="C322" s="24" t="s">
        <v>284</v>
      </c>
      <c r="D322" s="25" t="s">
        <v>183</v>
      </c>
      <c r="E322" s="93"/>
      <c r="K322" s="184"/>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t="str">
        <f>IF(AND(B323&lt;&gt;"",C323&lt;&gt;""),"N/T","")</f>
        <v/>
      </c>
      <c r="E323" s="79" t="str">
        <f t="shared" ref="E323:E357" si="16">IF(D323&lt;&gt;"",IF(AND(B323&lt;&gt;"",C323&lt;&gt;""),"","ERR"),"")</f>
        <v/>
      </c>
      <c r="F323" s="86" t="s">
        <v>185</v>
      </c>
      <c r="G323" s="87" t="s">
        <v>186</v>
      </c>
      <c r="H323" s="88" t="s">
        <v>184</v>
      </c>
      <c r="I323" s="89" t="s">
        <v>176</v>
      </c>
      <c r="J323" s="90" t="s">
        <v>174</v>
      </c>
      <c r="K323" s="179" t="s">
        <v>180</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5"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5"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5"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5"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5"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5"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5"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5"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5"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5"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5"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181</v>
      </c>
      <c r="B360" s="23" t="s">
        <v>173</v>
      </c>
      <c r="C360" s="24" t="s">
        <v>285</v>
      </c>
      <c r="D360" s="25" t="s">
        <v>183</v>
      </c>
      <c r="E360" s="93"/>
      <c r="K360" s="184"/>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t="str">
        <f>IF(AND(B361&lt;&gt;"",C361&lt;&gt;""),"N/T","")</f>
        <v/>
      </c>
      <c r="E361" s="79" t="str">
        <f t="shared" ref="E361:E395" si="18">IF(D361&lt;&gt;"",IF(AND(B361&lt;&gt;"",C361&lt;&gt;""),"","ERR"),"")</f>
        <v/>
      </c>
      <c r="F361" s="86" t="s">
        <v>185</v>
      </c>
      <c r="G361" s="87" t="s">
        <v>186</v>
      </c>
      <c r="H361" s="88" t="s">
        <v>184</v>
      </c>
      <c r="I361" s="89" t="s">
        <v>176</v>
      </c>
      <c r="J361" s="90" t="s">
        <v>174</v>
      </c>
      <c r="K361" s="179" t="s">
        <v>180</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15"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15"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15"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15"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15"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15"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15"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15"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15"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15"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15"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181</v>
      </c>
      <c r="B398" s="23" t="s">
        <v>173</v>
      </c>
      <c r="C398" s="24" t="s">
        <v>286</v>
      </c>
      <c r="D398" s="25" t="s">
        <v>183</v>
      </c>
      <c r="E398" s="93"/>
      <c r="K398" s="184"/>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t="str">
        <f>IF(AND(B399&lt;&gt;"",C399&lt;&gt;""),"N/T","")</f>
        <v/>
      </c>
      <c r="E399" s="79" t="str">
        <f t="shared" ref="E399:E433" si="20">IF(D399&lt;&gt;"",IF(AND(B399&lt;&gt;"",C399&lt;&gt;""),"","ERR"),"")</f>
        <v/>
      </c>
      <c r="F399" s="86" t="s">
        <v>185</v>
      </c>
      <c r="G399" s="87" t="s">
        <v>186</v>
      </c>
      <c r="H399" s="88" t="s">
        <v>184</v>
      </c>
      <c r="I399" s="89" t="s">
        <v>176</v>
      </c>
      <c r="J399" s="90" t="s">
        <v>174</v>
      </c>
      <c r="K399" s="179" t="s">
        <v>180</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15"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15"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15"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15"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15"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15"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15"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15"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15"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15"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15"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181</v>
      </c>
      <c r="B436" s="23" t="s">
        <v>173</v>
      </c>
      <c r="C436" s="24" t="s">
        <v>287</v>
      </c>
      <c r="D436" s="25" t="s">
        <v>183</v>
      </c>
      <c r="E436" s="93"/>
      <c r="K436" s="184"/>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t="str">
        <f>IF(AND(B437&lt;&gt;"",C437&lt;&gt;""),"N/T","")</f>
        <v/>
      </c>
      <c r="E437" s="79" t="str">
        <f t="shared" ref="E437:E471" si="22">IF(D437&lt;&gt;"",IF(AND(B437&lt;&gt;"",C437&lt;&gt;""),"","ERR"),"")</f>
        <v/>
      </c>
      <c r="F437" s="86" t="s">
        <v>185</v>
      </c>
      <c r="G437" s="87" t="s">
        <v>186</v>
      </c>
      <c r="H437" s="88" t="s">
        <v>184</v>
      </c>
      <c r="I437" s="89" t="s">
        <v>176</v>
      </c>
      <c r="J437" s="90" t="s">
        <v>174</v>
      </c>
      <c r="K437" s="179" t="s">
        <v>180</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15"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15"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15"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15"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15"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15"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15"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15"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15"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15"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15"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181</v>
      </c>
      <c r="B474" s="23" t="s">
        <v>173</v>
      </c>
      <c r="C474" s="24" t="s">
        <v>288</v>
      </c>
      <c r="D474" s="25" t="s">
        <v>183</v>
      </c>
      <c r="E474" s="93"/>
      <c r="K474" s="184"/>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t="str">
        <f>IF(AND(B475&lt;&gt;"",C475&lt;&gt;""),"N/T","")</f>
        <v/>
      </c>
      <c r="E475" s="79" t="str">
        <f t="shared" ref="E475:E509" si="24">IF(D475&lt;&gt;"",IF(AND(B475&lt;&gt;"",C475&lt;&gt;""),"","ERR"),"")</f>
        <v/>
      </c>
      <c r="F475" s="86" t="s">
        <v>185</v>
      </c>
      <c r="G475" s="87" t="s">
        <v>186</v>
      </c>
      <c r="H475" s="88" t="s">
        <v>184</v>
      </c>
      <c r="I475" s="89" t="s">
        <v>176</v>
      </c>
      <c r="J475" s="90" t="s">
        <v>174</v>
      </c>
      <c r="K475" s="179" t="s">
        <v>180</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15"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15"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15"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15"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15"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15"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15"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15"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15"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15"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15"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15"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181</v>
      </c>
      <c r="B512" s="23" t="s">
        <v>173</v>
      </c>
      <c r="C512" s="24" t="s">
        <v>289</v>
      </c>
      <c r="D512" s="25" t="s">
        <v>183</v>
      </c>
      <c r="E512" s="93"/>
      <c r="K512" s="184"/>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t="str">
        <f>IF(AND(B513&lt;&gt;"",C513&lt;&gt;""),"N/T","")</f>
        <v/>
      </c>
      <c r="E513" s="79" t="str">
        <f t="shared" ref="E513:E547" si="26">IF(D513&lt;&gt;"",IF(AND(B513&lt;&gt;"",C513&lt;&gt;""),"","ERR"),"")</f>
        <v/>
      </c>
      <c r="F513" s="86" t="s">
        <v>185</v>
      </c>
      <c r="G513" s="87" t="s">
        <v>186</v>
      </c>
      <c r="H513" s="88" t="s">
        <v>184</v>
      </c>
      <c r="I513" s="89" t="s">
        <v>176</v>
      </c>
      <c r="J513" s="90" t="s">
        <v>174</v>
      </c>
      <c r="K513" s="179" t="s">
        <v>180</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15"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15"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15"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15"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15"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15"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15"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15"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15"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15"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15"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181</v>
      </c>
      <c r="B550" s="23" t="s">
        <v>173</v>
      </c>
      <c r="C550" s="24" t="s">
        <v>290</v>
      </c>
      <c r="D550" s="25" t="s">
        <v>183</v>
      </c>
      <c r="E550" s="93"/>
      <c r="K550" s="184"/>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t="str">
        <f>IF(AND(B551&lt;&gt;"",C551&lt;&gt;""),"N/T","")</f>
        <v/>
      </c>
      <c r="E551" s="79" t="str">
        <f t="shared" ref="E551:E585" si="28">IF(D551&lt;&gt;"",IF(AND(B551&lt;&gt;"",C551&lt;&gt;""),"","ERR"),"")</f>
        <v/>
      </c>
      <c r="F551" s="86" t="s">
        <v>185</v>
      </c>
      <c r="G551" s="87" t="s">
        <v>186</v>
      </c>
      <c r="H551" s="88" t="s">
        <v>184</v>
      </c>
      <c r="I551" s="89" t="s">
        <v>176</v>
      </c>
      <c r="J551" s="90" t="s">
        <v>174</v>
      </c>
      <c r="K551" s="179" t="s">
        <v>180</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15"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15"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15"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15"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15"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15"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15"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15"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15"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15"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15"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181</v>
      </c>
      <c r="B588" s="23" t="s">
        <v>173</v>
      </c>
      <c r="C588" s="24" t="s">
        <v>291</v>
      </c>
      <c r="D588" s="25" t="s">
        <v>183</v>
      </c>
      <c r="E588" s="93"/>
      <c r="K588" s="184"/>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t="str">
        <f>IF(AND(B589&lt;&gt;"",C589&lt;&gt;""),"N/T","")</f>
        <v/>
      </c>
      <c r="E589" s="79" t="str">
        <f t="shared" ref="E589:E623" si="30">IF(D589&lt;&gt;"",IF(AND(B589&lt;&gt;"",C589&lt;&gt;""),"","ERR"),"")</f>
        <v/>
      </c>
      <c r="F589" s="86" t="s">
        <v>185</v>
      </c>
      <c r="G589" s="87" t="s">
        <v>186</v>
      </c>
      <c r="H589" s="88" t="s">
        <v>184</v>
      </c>
      <c r="I589" s="89" t="s">
        <v>176</v>
      </c>
      <c r="J589" s="90" t="s">
        <v>174</v>
      </c>
      <c r="K589" s="179" t="s">
        <v>180</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15"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15"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15"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15"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15"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15"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15"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15"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15"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15"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15"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75" customHeight="1">
      <c r="A626" s="173" t="s">
        <v>181</v>
      </c>
      <c r="B626" s="23" t="s">
        <v>173</v>
      </c>
      <c r="C626" s="24" t="s">
        <v>292</v>
      </c>
      <c r="D626" s="25" t="s">
        <v>183</v>
      </c>
      <c r="E626" s="93"/>
      <c r="K626" s="184"/>
      <c r="L626" s="18"/>
      <c r="M626" s="18"/>
      <c r="N626" s="18"/>
      <c r="O626" s="18"/>
      <c r="P626" s="18"/>
      <c r="Q626" s="18"/>
      <c r="R626" s="18"/>
      <c r="S626" s="18"/>
      <c r="T626" s="18"/>
      <c r="U626" s="18"/>
      <c r="V626" s="18"/>
      <c r="W626" s="18"/>
      <c r="X626" s="18"/>
      <c r="Y626" s="18"/>
    </row>
    <row r="627" spans="1:25" ht="13.25"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t="str">
        <f>IF(AND(B627&lt;&gt;"",C627&lt;&gt;""),"N/T","")</f>
        <v/>
      </c>
      <c r="E627" s="79" t="str">
        <f t="shared" ref="E627:E661" si="32">IF(D627&lt;&gt;"",IF(AND(B627&lt;&gt;"",C627&lt;&gt;""),"","ERR"),"")</f>
        <v/>
      </c>
      <c r="F627" s="86" t="s">
        <v>185</v>
      </c>
      <c r="G627" s="87" t="s">
        <v>186</v>
      </c>
      <c r="H627" s="88" t="s">
        <v>184</v>
      </c>
      <c r="I627" s="89" t="s">
        <v>176</v>
      </c>
      <c r="J627" s="90" t="s">
        <v>174</v>
      </c>
      <c r="K627" s="179" t="s">
        <v>180</v>
      </c>
      <c r="L627" s="18"/>
      <c r="M627" s="18"/>
      <c r="N627" s="18"/>
      <c r="O627" s="18"/>
      <c r="P627" s="18"/>
      <c r="Q627" s="18"/>
      <c r="R627" s="18"/>
      <c r="S627" s="18"/>
      <c r="T627" s="18"/>
      <c r="U627" s="18"/>
      <c r="V627" s="18"/>
      <c r="W627" s="18"/>
      <c r="X627" s="18"/>
      <c r="Y627" s="18"/>
    </row>
    <row r="628" spans="1:25" ht="13.25"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25"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25"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25"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25"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25"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25"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25"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25"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25"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25"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15"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15"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15"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15"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15"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15"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15"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15"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15"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15"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15"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25"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25"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25"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25"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25"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25"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25"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25"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25"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25"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25"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25"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75" customHeight="1">
      <c r="A664" s="173" t="s">
        <v>181</v>
      </c>
      <c r="B664" s="23" t="s">
        <v>173</v>
      </c>
      <c r="C664" s="24" t="s">
        <v>293</v>
      </c>
      <c r="D664" s="25" t="s">
        <v>183</v>
      </c>
      <c r="E664" s="93"/>
      <c r="K664" s="184"/>
      <c r="L664" s="18"/>
      <c r="M664" s="18"/>
      <c r="N664" s="18"/>
      <c r="O664" s="18"/>
      <c r="P664" s="18"/>
      <c r="Q664" s="18"/>
      <c r="R664" s="18"/>
      <c r="S664" s="18"/>
      <c r="T664" s="18"/>
      <c r="U664" s="18"/>
      <c r="V664" s="18"/>
      <c r="W664" s="18"/>
      <c r="X664" s="18"/>
      <c r="Y664" s="18"/>
    </row>
    <row r="665" spans="1:25" ht="14.15"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t="str">
        <f>IF(AND(B665&lt;&gt;"",C665&lt;&gt;""),"N/T","")</f>
        <v/>
      </c>
      <c r="E665" s="79" t="str">
        <f t="shared" ref="E665:E699" si="34">IF(D665&lt;&gt;"",IF(AND(B665&lt;&gt;"",C665&lt;&gt;""),"","ERR"),"")</f>
        <v/>
      </c>
      <c r="F665" s="86" t="s">
        <v>185</v>
      </c>
      <c r="G665" s="87" t="s">
        <v>186</v>
      </c>
      <c r="H665" s="88" t="s">
        <v>184</v>
      </c>
      <c r="I665" s="89" t="s">
        <v>176</v>
      </c>
      <c r="J665" s="90" t="s">
        <v>174</v>
      </c>
      <c r="K665" s="179" t="s">
        <v>180</v>
      </c>
      <c r="L665" s="18"/>
      <c r="M665" s="18"/>
      <c r="N665" s="18"/>
      <c r="O665" s="18"/>
      <c r="P665" s="18"/>
      <c r="Q665" s="18"/>
      <c r="R665" s="18"/>
      <c r="S665" s="18"/>
      <c r="T665" s="18"/>
      <c r="U665" s="18"/>
      <c r="V665" s="18"/>
      <c r="W665" s="18"/>
      <c r="X665" s="18"/>
      <c r="Y665" s="18"/>
    </row>
    <row r="666" spans="1:25" ht="14.15"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15"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15"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15"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15"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15"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15"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15"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15"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15"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15"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15"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15"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15"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15"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15"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15"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15"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15"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15"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15"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15"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15"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15"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15"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15"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15"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15"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15"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15"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15"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15"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15"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15"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15"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15"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5" customHeight="1">
      <c r="A702" s="173" t="s">
        <v>181</v>
      </c>
      <c r="B702" s="23" t="s">
        <v>173</v>
      </c>
      <c r="C702" s="24" t="s">
        <v>294</v>
      </c>
      <c r="D702" s="25" t="s">
        <v>183</v>
      </c>
      <c r="E702" s="93"/>
      <c r="J702" s="95"/>
      <c r="K702" s="184"/>
      <c r="L702" s="18"/>
      <c r="M702" s="18"/>
      <c r="N702" s="18"/>
      <c r="O702" s="18"/>
      <c r="P702" s="18"/>
      <c r="Q702" s="18"/>
      <c r="R702" s="18"/>
      <c r="S702" s="18"/>
      <c r="T702" s="18"/>
      <c r="U702" s="18"/>
      <c r="V702" s="18"/>
      <c r="W702" s="18"/>
      <c r="X702" s="18"/>
      <c r="Y702" s="18"/>
    </row>
    <row r="703" spans="1:25" ht="14.15"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t="str">
        <f>IF(AND(B703&lt;&gt;"",C703&lt;&gt;""),"N/T","")</f>
        <v/>
      </c>
      <c r="E703" s="79" t="str">
        <f t="shared" ref="E703:E737" si="36">IF(D703&lt;&gt;"",IF(AND(B703&lt;&gt;"",C703&lt;&gt;""),"","ERR"),"")</f>
        <v/>
      </c>
      <c r="F703" s="86" t="s">
        <v>185</v>
      </c>
      <c r="G703" s="87" t="s">
        <v>186</v>
      </c>
      <c r="H703" s="88" t="s">
        <v>184</v>
      </c>
      <c r="I703" s="89" t="s">
        <v>176</v>
      </c>
      <c r="J703" s="90" t="s">
        <v>174</v>
      </c>
      <c r="K703" s="179" t="s">
        <v>180</v>
      </c>
      <c r="L703" s="18"/>
      <c r="M703" s="18"/>
      <c r="N703" s="18"/>
      <c r="O703" s="18"/>
      <c r="P703" s="18"/>
      <c r="Q703" s="18"/>
      <c r="R703" s="18"/>
      <c r="S703" s="18"/>
      <c r="T703" s="18"/>
      <c r="U703" s="18"/>
      <c r="V703" s="18"/>
      <c r="W703" s="18"/>
      <c r="X703" s="18"/>
      <c r="Y703" s="18"/>
    </row>
    <row r="704" spans="1:25" ht="14.15"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15"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15"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15"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15"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15"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15"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15"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15"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15"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15"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15"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15"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15"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15"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15"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15"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15"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15"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15"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15"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15"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15"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15"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15"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15"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15"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15"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15"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15"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15"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15"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15"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15"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181</v>
      </c>
      <c r="B740" s="23" t="s">
        <v>173</v>
      </c>
      <c r="C740" s="24" t="s">
        <v>295</v>
      </c>
      <c r="D740" s="25" t="s">
        <v>183</v>
      </c>
      <c r="E740" s="93"/>
      <c r="K740" s="184"/>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t="str">
        <f>IF(AND(B741&lt;&gt;"",C741&lt;&gt;""),"N/T","")</f>
        <v/>
      </c>
      <c r="E741" s="79" t="str">
        <f t="shared" ref="E741:E775" si="38">IF(D741&lt;&gt;"",IF(AND(B741&lt;&gt;"",C741&lt;&gt;""),"","ERR"),"")</f>
        <v/>
      </c>
      <c r="F741" s="86" t="s">
        <v>185</v>
      </c>
      <c r="G741" s="87" t="s">
        <v>186</v>
      </c>
      <c r="H741" s="88" t="s">
        <v>184</v>
      </c>
      <c r="I741" s="89" t="s">
        <v>176</v>
      </c>
      <c r="J741" s="90" t="s">
        <v>174</v>
      </c>
      <c r="K741" s="179" t="s">
        <v>180</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181</v>
      </c>
      <c r="B778" s="23" t="s">
        <v>173</v>
      </c>
      <c r="C778" s="24" t="s">
        <v>296</v>
      </c>
      <c r="D778" s="25" t="s">
        <v>183</v>
      </c>
      <c r="E778" s="93"/>
      <c r="K778" s="184"/>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t="str">
        <f>IF(AND(B779&lt;&gt;"",C779&lt;&gt;""),"N/T","")</f>
        <v/>
      </c>
      <c r="E779" s="79" t="str">
        <f t="shared" ref="E779:E813" si="40">IF(D779&lt;&gt;"",IF(AND(B779&lt;&gt;"",C779&lt;&gt;""),"","ERR"),"")</f>
        <v/>
      </c>
      <c r="F779" s="86" t="s">
        <v>185</v>
      </c>
      <c r="G779" s="87" t="s">
        <v>186</v>
      </c>
      <c r="H779" s="88" t="s">
        <v>184</v>
      </c>
      <c r="I779" s="89" t="s">
        <v>176</v>
      </c>
      <c r="J779" s="90" t="s">
        <v>174</v>
      </c>
      <c r="K779" s="179" t="s">
        <v>180</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181</v>
      </c>
      <c r="B816" s="23" t="s">
        <v>173</v>
      </c>
      <c r="C816" s="24" t="s">
        <v>297</v>
      </c>
      <c r="D816" s="25" t="s">
        <v>183</v>
      </c>
      <c r="E816" s="93"/>
      <c r="K816" s="184"/>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t="str">
        <f>IF(AND(B817&lt;&gt;"",C817&lt;&gt;""),"N/T","")</f>
        <v/>
      </c>
      <c r="E817" s="79" t="str">
        <f t="shared" ref="E817:E851" si="42">IF(D817&lt;&gt;"",IF(AND(B817&lt;&gt;"",C817&lt;&gt;""),"","ERR"),"")</f>
        <v/>
      </c>
      <c r="F817" s="86" t="s">
        <v>185</v>
      </c>
      <c r="G817" s="87" t="s">
        <v>186</v>
      </c>
      <c r="H817" s="88" t="s">
        <v>184</v>
      </c>
      <c r="I817" s="89" t="s">
        <v>176</v>
      </c>
      <c r="J817" s="90" t="s">
        <v>174</v>
      </c>
      <c r="K817" s="179" t="s">
        <v>180</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181</v>
      </c>
      <c r="B854" s="23" t="s">
        <v>173</v>
      </c>
      <c r="C854" s="24" t="s">
        <v>298</v>
      </c>
      <c r="D854" s="25" t="s">
        <v>183</v>
      </c>
      <c r="E854" s="93"/>
      <c r="K854" s="184"/>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t="str">
        <f>IF(AND(B855&lt;&gt;"",C855&lt;&gt;""),"N/T","")</f>
        <v/>
      </c>
      <c r="E855" s="79" t="str">
        <f t="shared" ref="E855:E889" si="44">IF(D855&lt;&gt;"",IF(AND(B855&lt;&gt;"",C855&lt;&gt;""),"","ERR"),"")</f>
        <v/>
      </c>
      <c r="F855" s="86" t="s">
        <v>185</v>
      </c>
      <c r="G855" s="87" t="s">
        <v>186</v>
      </c>
      <c r="H855" s="88" t="s">
        <v>184</v>
      </c>
      <c r="I855" s="89" t="s">
        <v>176</v>
      </c>
      <c r="J855" s="90" t="s">
        <v>174</v>
      </c>
      <c r="K855" s="179" t="s">
        <v>180</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181</v>
      </c>
      <c r="B892" s="23" t="s">
        <v>173</v>
      </c>
      <c r="C892" s="24" t="s">
        <v>299</v>
      </c>
      <c r="D892" s="25" t="s">
        <v>183</v>
      </c>
      <c r="E892" s="93"/>
      <c r="K892" s="184"/>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t="str">
        <f>IF(AND(B893&lt;&gt;"",C893&lt;&gt;""),"N/T","")</f>
        <v/>
      </c>
      <c r="E893" s="79" t="str">
        <f t="shared" ref="E893:E927" si="46">IF(D893&lt;&gt;"",IF(AND(B893&lt;&gt;"",C893&lt;&gt;""),"","ERR"),"")</f>
        <v/>
      </c>
      <c r="F893" s="86" t="s">
        <v>185</v>
      </c>
      <c r="G893" s="87" t="s">
        <v>186</v>
      </c>
      <c r="H893" s="88" t="s">
        <v>184</v>
      </c>
      <c r="I893" s="89" t="s">
        <v>176</v>
      </c>
      <c r="J893" s="90" t="s">
        <v>174</v>
      </c>
      <c r="K893" s="179" t="s">
        <v>180</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181</v>
      </c>
      <c r="B930" s="23" t="s">
        <v>173</v>
      </c>
      <c r="C930" s="24" t="s">
        <v>300</v>
      </c>
      <c r="D930" s="25" t="s">
        <v>183</v>
      </c>
      <c r="E930" s="93"/>
      <c r="K930" s="184"/>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t="str">
        <f>IF(AND(B931&lt;&gt;"",C931&lt;&gt;""),"N/T","")</f>
        <v/>
      </c>
      <c r="E931" s="79" t="str">
        <f t="shared" ref="E931:E965" si="48">IF(D931&lt;&gt;"",IF(AND(B931&lt;&gt;"",C931&lt;&gt;""),"","ERR"),"")</f>
        <v/>
      </c>
      <c r="F931" s="86" t="s">
        <v>185</v>
      </c>
      <c r="G931" s="87" t="s">
        <v>186</v>
      </c>
      <c r="H931" s="88" t="s">
        <v>184</v>
      </c>
      <c r="I931" s="89" t="s">
        <v>176</v>
      </c>
      <c r="J931" s="90" t="s">
        <v>174</v>
      </c>
      <c r="K931" s="179" t="s">
        <v>180</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181</v>
      </c>
      <c r="B968" s="23" t="s">
        <v>173</v>
      </c>
      <c r="C968" s="24" t="s">
        <v>301</v>
      </c>
      <c r="D968" s="25" t="s">
        <v>183</v>
      </c>
      <c r="E968" s="93"/>
      <c r="K968" s="184"/>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t="str">
        <f>IF(AND(B969&lt;&gt;"",C969&lt;&gt;""),"N/T","")</f>
        <v/>
      </c>
      <c r="E969" s="79" t="str">
        <f t="shared" ref="E969:E1004" si="50">IF(D969&lt;&gt;"",IF(AND(B969&lt;&gt;"",C969&lt;&gt;""),"","ERR"),"")</f>
        <v/>
      </c>
      <c r="F969" s="86" t="s">
        <v>185</v>
      </c>
      <c r="G969" s="87" t="s">
        <v>186</v>
      </c>
      <c r="H969" s="88" t="s">
        <v>184</v>
      </c>
      <c r="I969" s="89" t="s">
        <v>176</v>
      </c>
      <c r="J969" s="90" t="s">
        <v>174</v>
      </c>
      <c r="K969" s="179" t="s">
        <v>180</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181</v>
      </c>
      <c r="B1006" s="23" t="s">
        <v>173</v>
      </c>
      <c r="C1006" s="24" t="s">
        <v>302</v>
      </c>
      <c r="D1006" s="25" t="s">
        <v>183</v>
      </c>
      <c r="E1006" s="93"/>
      <c r="K1006" s="184"/>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t="str">
        <f>IF(AND(B1007&lt;&gt;"",C1007&lt;&gt;""),"N/T","")</f>
        <v/>
      </c>
      <c r="E1007" s="79" t="str">
        <f t="shared" ref="E1007:E1041" si="52">IF(D1007&lt;&gt;"",IF(AND(B1007&lt;&gt;"",C1007&lt;&gt;""),"","ERR"),"")</f>
        <v/>
      </c>
      <c r="F1007" s="86" t="s">
        <v>185</v>
      </c>
      <c r="G1007" s="87" t="s">
        <v>186</v>
      </c>
      <c r="H1007" s="88" t="s">
        <v>184</v>
      </c>
      <c r="I1007" s="89" t="s">
        <v>176</v>
      </c>
      <c r="J1007" s="90" t="s">
        <v>174</v>
      </c>
      <c r="K1007" s="179" t="s">
        <v>180</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181</v>
      </c>
      <c r="B1044" s="23" t="s">
        <v>173</v>
      </c>
      <c r="C1044" s="24" t="s">
        <v>303</v>
      </c>
      <c r="D1044" s="25" t="s">
        <v>183</v>
      </c>
      <c r="E1044" s="93"/>
      <c r="K1044" s="184"/>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t="str">
        <f>IF(AND(B1045&lt;&gt;"",C1045&lt;&gt;""),"N/T","")</f>
        <v/>
      </c>
      <c r="E1045" s="79" t="str">
        <f t="shared" ref="E1045:E1079" si="54">IF(D1045&lt;&gt;"",IF(AND(B1045&lt;&gt;"",C1045&lt;&gt;""),"","ERR"),"")</f>
        <v/>
      </c>
      <c r="F1045" s="86" t="s">
        <v>185</v>
      </c>
      <c r="G1045" s="87" t="s">
        <v>186</v>
      </c>
      <c r="H1045" s="88" t="s">
        <v>184</v>
      </c>
      <c r="I1045" s="89" t="s">
        <v>176</v>
      </c>
      <c r="J1045" s="90" t="s">
        <v>174</v>
      </c>
      <c r="K1045" s="179" t="s">
        <v>180</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181</v>
      </c>
      <c r="B1082" s="23" t="s">
        <v>173</v>
      </c>
      <c r="C1082" s="24" t="s">
        <v>304</v>
      </c>
      <c r="D1082" s="25" t="s">
        <v>183</v>
      </c>
      <c r="E1082" s="93"/>
      <c r="K1082" s="184"/>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t="str">
        <f>IF(AND(B1083&lt;&gt;"",C1083&lt;&gt;""),"N/T","")</f>
        <v/>
      </c>
      <c r="E1083" s="79" t="str">
        <f t="shared" ref="E1083:E1117" si="56">IF(D1083&lt;&gt;"",IF(AND(B1083&lt;&gt;"",C1083&lt;&gt;""),"","ERR"),"")</f>
        <v/>
      </c>
      <c r="F1083" s="86" t="s">
        <v>185</v>
      </c>
      <c r="G1083" s="87" t="s">
        <v>186</v>
      </c>
      <c r="H1083" s="88" t="s">
        <v>184</v>
      </c>
      <c r="I1083" s="89" t="s">
        <v>176</v>
      </c>
      <c r="J1083" s="90" t="s">
        <v>174</v>
      </c>
      <c r="K1083" s="179" t="s">
        <v>180</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181</v>
      </c>
      <c r="B1120" s="23" t="s">
        <v>173</v>
      </c>
      <c r="C1120" s="24" t="s">
        <v>305</v>
      </c>
      <c r="D1120" s="25" t="s">
        <v>183</v>
      </c>
      <c r="E1120" s="93"/>
      <c r="K1120" s="184"/>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t="str">
        <f>IF(AND(B1121&lt;&gt;"",C1121&lt;&gt;""),"N/T","")</f>
        <v/>
      </c>
      <c r="E1121" s="79" t="str">
        <f t="shared" ref="E1121:E1155" si="58">IF(D1121&lt;&gt;"",IF(AND(B1121&lt;&gt;"",C1121&lt;&gt;""),"","ERR"),"")</f>
        <v/>
      </c>
      <c r="F1121" s="86" t="s">
        <v>185</v>
      </c>
      <c r="G1121" s="87" t="s">
        <v>186</v>
      </c>
      <c r="H1121" s="88" t="s">
        <v>184</v>
      </c>
      <c r="I1121" s="89" t="s">
        <v>176</v>
      </c>
      <c r="J1121" s="90" t="s">
        <v>174</v>
      </c>
      <c r="K1121" s="179" t="s">
        <v>180</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181</v>
      </c>
      <c r="B1158" s="23" t="s">
        <v>173</v>
      </c>
      <c r="C1158" s="24" t="s">
        <v>306</v>
      </c>
      <c r="D1158" s="25" t="s">
        <v>183</v>
      </c>
      <c r="E1158" s="93"/>
      <c r="K1158" s="184"/>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t="str">
        <f>IF(AND(B1159&lt;&gt;"",C1159&lt;&gt;""),"N/T","")</f>
        <v/>
      </c>
      <c r="E1159" s="79" t="str">
        <f t="shared" ref="E1159:E1193" si="60">IF(D1159&lt;&gt;"",IF(AND(B1159&lt;&gt;"",C1159&lt;&gt;""),"","ERR"),"")</f>
        <v/>
      </c>
      <c r="F1159" s="86" t="s">
        <v>185</v>
      </c>
      <c r="G1159" s="87" t="s">
        <v>186</v>
      </c>
      <c r="H1159" s="88" t="s">
        <v>184</v>
      </c>
      <c r="I1159" s="89" t="s">
        <v>176</v>
      </c>
      <c r="J1159" s="90" t="s">
        <v>174</v>
      </c>
      <c r="K1159" s="179" t="s">
        <v>180</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181</v>
      </c>
      <c r="B1196" s="23" t="s">
        <v>173</v>
      </c>
      <c r="C1196" s="24" t="s">
        <v>307</v>
      </c>
      <c r="D1196" s="25" t="s">
        <v>183</v>
      </c>
      <c r="E1196" s="93"/>
      <c r="K1196" s="184"/>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t="str">
        <f>IF(AND(B1197&lt;&gt;"",C1197&lt;&gt;""),"N/T","")</f>
        <v/>
      </c>
      <c r="E1197" s="79" t="str">
        <f t="shared" ref="E1197:E1231" si="62">IF(D1197&lt;&gt;"",IF(AND(B1197&lt;&gt;"",C1197&lt;&gt;""),"","ERR"),"")</f>
        <v/>
      </c>
      <c r="F1197" s="86" t="s">
        <v>185</v>
      </c>
      <c r="G1197" s="87" t="s">
        <v>186</v>
      </c>
      <c r="H1197" s="88" t="s">
        <v>184</v>
      </c>
      <c r="I1197" s="89" t="s">
        <v>176</v>
      </c>
      <c r="J1197" s="90" t="s">
        <v>174</v>
      </c>
      <c r="K1197" s="179" t="s">
        <v>180</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181</v>
      </c>
      <c r="B1234" s="23" t="s">
        <v>173</v>
      </c>
      <c r="C1234" s="24" t="s">
        <v>308</v>
      </c>
      <c r="D1234" s="25" t="s">
        <v>183</v>
      </c>
      <c r="E1234" s="93"/>
      <c r="K1234" s="184"/>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t="str">
        <f>IF(AND(B1235&lt;&gt;"",C1235&lt;&gt;""),"N/T","")</f>
        <v/>
      </c>
      <c r="E1235" s="79" t="str">
        <f t="shared" ref="E1235:E1269" si="64">IF(D1235&lt;&gt;"",IF(AND(B1235&lt;&gt;"",C1235&lt;&gt;""),"","ERR"),"")</f>
        <v/>
      </c>
      <c r="F1235" s="86" t="s">
        <v>185</v>
      </c>
      <c r="G1235" s="87" t="s">
        <v>186</v>
      </c>
      <c r="H1235" s="88" t="s">
        <v>184</v>
      </c>
      <c r="I1235" s="89" t="s">
        <v>176</v>
      </c>
      <c r="J1235" s="90" t="s">
        <v>174</v>
      </c>
      <c r="K1235" s="179" t="s">
        <v>180</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181</v>
      </c>
      <c r="B1272" s="23" t="s">
        <v>173</v>
      </c>
      <c r="C1272" s="24" t="s">
        <v>309</v>
      </c>
      <c r="D1272" s="25" t="s">
        <v>183</v>
      </c>
      <c r="E1272" s="93"/>
      <c r="K1272" s="184"/>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t="str">
        <f>IF(AND(B1273&lt;&gt;"",C1273&lt;&gt;""),"N/T","")</f>
        <v/>
      </c>
      <c r="E1273" s="79" t="str">
        <f t="shared" ref="E1273:E1307" si="66">IF(D1273&lt;&gt;"",IF(AND(B1273&lt;&gt;"",C1273&lt;&gt;""),"","ERR"),"")</f>
        <v/>
      </c>
      <c r="F1273" s="86" t="s">
        <v>185</v>
      </c>
      <c r="G1273" s="87" t="s">
        <v>186</v>
      </c>
      <c r="H1273" s="88" t="s">
        <v>184</v>
      </c>
      <c r="I1273" s="89" t="s">
        <v>176</v>
      </c>
      <c r="J1273" s="90" t="s">
        <v>174</v>
      </c>
      <c r="K1273" s="179" t="s">
        <v>180</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181</v>
      </c>
      <c r="B1310" s="23" t="s">
        <v>173</v>
      </c>
      <c r="C1310" s="24" t="s">
        <v>310</v>
      </c>
      <c r="D1310" s="25" t="s">
        <v>183</v>
      </c>
      <c r="E1310" s="93"/>
      <c r="K1310" s="184"/>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t="str">
        <f>IF(AND(B1311&lt;&gt;"",C1311&lt;&gt;""),"N/T","")</f>
        <v/>
      </c>
      <c r="E1311" s="79" t="str">
        <f t="shared" ref="E1311:E1345" si="68">IF(D1311&lt;&gt;"",IF(AND(B1311&lt;&gt;"",C1311&lt;&gt;""),"","ERR"),"")</f>
        <v/>
      </c>
      <c r="F1311" s="86" t="s">
        <v>185</v>
      </c>
      <c r="G1311" s="87" t="s">
        <v>186</v>
      </c>
      <c r="H1311" s="88" t="s">
        <v>184</v>
      </c>
      <c r="I1311" s="89" t="s">
        <v>176</v>
      </c>
      <c r="J1311" s="90" t="s">
        <v>174</v>
      </c>
      <c r="K1311" s="179" t="s">
        <v>180</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181</v>
      </c>
      <c r="B1348" s="23" t="s">
        <v>173</v>
      </c>
      <c r="C1348" s="24" t="s">
        <v>311</v>
      </c>
      <c r="D1348" s="25" t="s">
        <v>183</v>
      </c>
      <c r="E1348" s="93"/>
      <c r="K1348" s="184"/>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t="str">
        <f>IF(AND(B1349&lt;&gt;"",C1349&lt;&gt;""),"N/T","")</f>
        <v/>
      </c>
      <c r="E1349" s="79" t="str">
        <f t="shared" ref="E1349:E1383" si="70">IF(D1349&lt;&gt;"",IF(AND(B1349&lt;&gt;"",C1349&lt;&gt;""),"","ERR"),"")</f>
        <v/>
      </c>
      <c r="F1349" s="86" t="s">
        <v>185</v>
      </c>
      <c r="G1349" s="87" t="s">
        <v>186</v>
      </c>
      <c r="H1349" s="88" t="s">
        <v>184</v>
      </c>
      <c r="I1349" s="89" t="s">
        <v>176</v>
      </c>
      <c r="J1349" s="90" t="s">
        <v>174</v>
      </c>
      <c r="K1349" s="179" t="s">
        <v>180</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181</v>
      </c>
      <c r="B1386" s="23" t="s">
        <v>173</v>
      </c>
      <c r="C1386" s="24" t="s">
        <v>312</v>
      </c>
      <c r="D1386" s="25" t="s">
        <v>183</v>
      </c>
      <c r="E1386" s="93"/>
      <c r="K1386" s="184"/>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t="str">
        <f>IF(AND(B1387&lt;&gt;"",C1387&lt;&gt;""),"N/T","")</f>
        <v/>
      </c>
      <c r="E1387" s="79" t="str">
        <f t="shared" ref="E1387:E1421" si="72">IF(D1387&lt;&gt;"",IF(AND(B1387&lt;&gt;"",C1387&lt;&gt;""),"","ERR"),"")</f>
        <v/>
      </c>
      <c r="F1387" s="86" t="s">
        <v>185</v>
      </c>
      <c r="G1387" s="87" t="s">
        <v>186</v>
      </c>
      <c r="H1387" s="88" t="s">
        <v>184</v>
      </c>
      <c r="I1387" s="89" t="s">
        <v>176</v>
      </c>
      <c r="J1387" s="90" t="s">
        <v>174</v>
      </c>
      <c r="K1387" s="179" t="s">
        <v>180</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181</v>
      </c>
      <c r="B1424" s="23" t="s">
        <v>173</v>
      </c>
      <c r="C1424" s="24" t="s">
        <v>313</v>
      </c>
      <c r="D1424" s="25" t="s">
        <v>183</v>
      </c>
      <c r="E1424" s="93"/>
      <c r="K1424" s="184"/>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t="str">
        <f>IF(AND(B1425&lt;&gt;"",C1425&lt;&gt;""),"N/T","")</f>
        <v/>
      </c>
      <c r="E1425" s="79" t="str">
        <f t="shared" ref="E1425:E1459" si="74">IF(D1425&lt;&gt;"",IF(AND(B1425&lt;&gt;"",C1425&lt;&gt;""),"","ERR"),"")</f>
        <v/>
      </c>
      <c r="F1425" s="86" t="s">
        <v>185</v>
      </c>
      <c r="G1425" s="87" t="s">
        <v>186</v>
      </c>
      <c r="H1425" s="88" t="s">
        <v>184</v>
      </c>
      <c r="I1425" s="89" t="s">
        <v>176</v>
      </c>
      <c r="J1425" s="90" t="s">
        <v>174</v>
      </c>
      <c r="K1425" s="179" t="s">
        <v>180</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181</v>
      </c>
      <c r="B1462" s="23" t="s">
        <v>173</v>
      </c>
      <c r="C1462" s="24" t="s">
        <v>314</v>
      </c>
      <c r="D1462" s="25" t="s">
        <v>183</v>
      </c>
      <c r="E1462" s="93"/>
      <c r="K1462" s="184"/>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t="str">
        <f>IF(AND(B1463&lt;&gt;"",C1463&lt;&gt;""),"N/T","")</f>
        <v/>
      </c>
      <c r="E1463" s="79" t="str">
        <f t="shared" ref="E1463:E1497" si="76">IF(D1463&lt;&gt;"",IF(AND(B1463&lt;&gt;"",C1463&lt;&gt;""),"","ERR"),"")</f>
        <v/>
      </c>
      <c r="F1463" s="86" t="s">
        <v>185</v>
      </c>
      <c r="G1463" s="87" t="s">
        <v>186</v>
      </c>
      <c r="H1463" s="88" t="s">
        <v>184</v>
      </c>
      <c r="I1463" s="89" t="s">
        <v>176</v>
      </c>
      <c r="J1463" s="90" t="s">
        <v>174</v>
      </c>
      <c r="K1463" s="179" t="s">
        <v>180</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181</v>
      </c>
      <c r="B1500" s="23" t="s">
        <v>173</v>
      </c>
      <c r="C1500" s="24" t="s">
        <v>315</v>
      </c>
      <c r="D1500" s="25" t="s">
        <v>183</v>
      </c>
      <c r="E1500" s="93"/>
      <c r="K1500" s="184"/>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t="str">
        <f>IF(AND(B1501&lt;&gt;"",C1501&lt;&gt;""),"N/T","")</f>
        <v/>
      </c>
      <c r="E1501" s="79" t="str">
        <f t="shared" ref="E1501:E1535" si="78">IF(D1501&lt;&gt;"",IF(AND(B1501&lt;&gt;"",C1501&lt;&gt;""),"","ERR"),"")</f>
        <v/>
      </c>
      <c r="F1501" s="86" t="s">
        <v>185</v>
      </c>
      <c r="G1501" s="87" t="s">
        <v>186</v>
      </c>
      <c r="H1501" s="88" t="s">
        <v>184</v>
      </c>
      <c r="I1501" s="89" t="s">
        <v>176</v>
      </c>
      <c r="J1501" s="90" t="s">
        <v>174</v>
      </c>
      <c r="K1501" s="179" t="s">
        <v>180</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181</v>
      </c>
      <c r="B1538" s="23" t="s">
        <v>173</v>
      </c>
      <c r="C1538" s="24" t="s">
        <v>316</v>
      </c>
      <c r="D1538" s="25" t="s">
        <v>183</v>
      </c>
      <c r="E1538" s="93"/>
      <c r="K1538" s="184"/>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t="str">
        <f>IF(AND(B1539&lt;&gt;"",C1539&lt;&gt;""),"N/T","")</f>
        <v/>
      </c>
      <c r="E1539" s="79" t="str">
        <f t="shared" ref="E1539:E1573" si="80">IF(D1539&lt;&gt;"",IF(AND(B1539&lt;&gt;"",C1539&lt;&gt;""),"","ERR"),"")</f>
        <v/>
      </c>
      <c r="F1539" s="86" t="s">
        <v>185</v>
      </c>
      <c r="G1539" s="87" t="s">
        <v>186</v>
      </c>
      <c r="H1539" s="88" t="s">
        <v>184</v>
      </c>
      <c r="I1539" s="89" t="s">
        <v>176</v>
      </c>
      <c r="J1539" s="90" t="s">
        <v>174</v>
      </c>
      <c r="K1539" s="179" t="s">
        <v>180</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181</v>
      </c>
      <c r="B1576" s="23" t="s">
        <v>173</v>
      </c>
      <c r="C1576" s="24" t="s">
        <v>317</v>
      </c>
      <c r="D1576" s="25" t="s">
        <v>183</v>
      </c>
      <c r="E1576" s="93"/>
      <c r="K1576" s="184"/>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t="str">
        <f>IF(AND(B1577&lt;&gt;"",C1577&lt;&gt;""),"N/T","")</f>
        <v/>
      </c>
      <c r="E1577" s="79" t="str">
        <f t="shared" ref="E1577:E1611" si="82">IF(D1577&lt;&gt;"",IF(AND(B1577&lt;&gt;"",C1577&lt;&gt;""),"","ERR"),"")</f>
        <v/>
      </c>
      <c r="F1577" s="86" t="s">
        <v>185</v>
      </c>
      <c r="G1577" s="87" t="s">
        <v>186</v>
      </c>
      <c r="H1577" s="88" t="s">
        <v>184</v>
      </c>
      <c r="I1577" s="89" t="s">
        <v>176</v>
      </c>
      <c r="J1577" s="90" t="s">
        <v>174</v>
      </c>
      <c r="K1577" s="179" t="s">
        <v>180</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4.5">
      <c r="B1613" s="18"/>
      <c r="C1613" s="18"/>
      <c r="D1613" s="79"/>
      <c r="E1613" s="83"/>
      <c r="K1613" s="184"/>
      <c r="L1613" s="18"/>
    </row>
    <row r="1614" spans="1:12" ht="31">
      <c r="A1614" s="173" t="s">
        <v>181</v>
      </c>
      <c r="B1614" s="23" t="s">
        <v>173</v>
      </c>
      <c r="C1614" s="24" t="s">
        <v>318</v>
      </c>
      <c r="D1614" s="25" t="s">
        <v>183</v>
      </c>
      <c r="E1614" s="93"/>
      <c r="K1614" s="184"/>
      <c r="L1614" s="18"/>
    </row>
    <row r="1615" spans="1:12" ht="14.5">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t="str">
        <f>IF(AND(B1615&lt;&gt;"",C1615&lt;&gt;""),"N/T","")</f>
        <v/>
      </c>
      <c r="E1615" s="79" t="str">
        <f t="shared" ref="E1615:E1649" si="84">IF(D1615&lt;&gt;"",IF(AND(B1615&lt;&gt;"",C1615&lt;&gt;""),"","ERR"),"")</f>
        <v/>
      </c>
      <c r="F1615" s="86" t="s">
        <v>185</v>
      </c>
      <c r="G1615" s="87" t="s">
        <v>186</v>
      </c>
      <c r="H1615" s="88" t="s">
        <v>184</v>
      </c>
      <c r="I1615" s="89" t="s">
        <v>176</v>
      </c>
      <c r="J1615" s="90" t="s">
        <v>174</v>
      </c>
      <c r="K1615" s="179" t="s">
        <v>180</v>
      </c>
      <c r="L1615" s="18"/>
    </row>
    <row r="1616" spans="1:12" ht="14.5">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4.5">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4.5">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4.5">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4.5">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4.5">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4.5">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4.5">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4.5">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4.5">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4.5">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4.5">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4.5">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4.5">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4.5">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4.5">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4.5">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4.5">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4.5">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4.5">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4.5">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4.5">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4.5">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4.5">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4.5">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4.5">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4.5">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4.5">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4.5">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4.5">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4.5">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4.5">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4.5">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4.5">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4.5">
      <c r="B1650" s="18"/>
      <c r="C1650" s="18"/>
      <c r="D1650" s="79"/>
      <c r="E1650" s="18"/>
      <c r="F1650" s="18"/>
      <c r="G1650" s="18"/>
      <c r="H1650" s="18"/>
      <c r="I1650" s="18"/>
      <c r="J1650" s="18"/>
      <c r="K1650" s="184"/>
    </row>
    <row r="1651" spans="1:11" ht="14.5">
      <c r="B1651" s="18"/>
      <c r="C1651" s="18"/>
      <c r="D1651" s="79"/>
      <c r="E1651" s="83"/>
      <c r="F1651" s="18"/>
      <c r="G1651" s="18"/>
      <c r="H1651" s="18"/>
      <c r="I1651" s="18"/>
      <c r="J1651" s="18"/>
      <c r="K1651" s="184"/>
    </row>
    <row r="1652" spans="1:11" ht="31">
      <c r="A1652" s="173" t="s">
        <v>181</v>
      </c>
      <c r="B1652" s="23" t="s">
        <v>173</v>
      </c>
      <c r="C1652" s="24" t="s">
        <v>319</v>
      </c>
      <c r="D1652" s="25" t="s">
        <v>183</v>
      </c>
      <c r="E1652" s="93"/>
      <c r="K1652" s="184"/>
    </row>
    <row r="1653" spans="1:11" ht="14.5">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t="str">
        <f>IF(AND(B1653&lt;&gt;"",C1653&lt;&gt;""),"N/T","")</f>
        <v/>
      </c>
      <c r="E1653" s="79" t="str">
        <f t="shared" ref="E1653:E1687" si="86">IF(D1653&lt;&gt;"",IF(AND(B1653&lt;&gt;"",C1653&lt;&gt;""),"","ERR"),"")</f>
        <v/>
      </c>
      <c r="F1653" s="86" t="s">
        <v>185</v>
      </c>
      <c r="G1653" s="87" t="s">
        <v>186</v>
      </c>
      <c r="H1653" s="88" t="s">
        <v>184</v>
      </c>
      <c r="I1653" s="89" t="s">
        <v>176</v>
      </c>
      <c r="J1653" s="90" t="s">
        <v>174</v>
      </c>
      <c r="K1653" s="179" t="s">
        <v>180</v>
      </c>
    </row>
    <row r="1654" spans="1:11" ht="14.5">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4.5">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4.5">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4.5">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4.5">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4.5">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4.5">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4.5">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4.5">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4.5">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4.5">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4.5">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4.5">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4.5">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4.5">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4.5">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4.5">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4.5">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4.5">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4.5">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4.5">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4.5">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4.5">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4.5">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4.5">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4.5">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4.5">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4.5">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4.5">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4.5">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4.5">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4.5">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4.5">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4.5">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4.5">
      <c r="B1688" s="18"/>
      <c r="C1688" s="18"/>
      <c r="D1688" s="79"/>
      <c r="E1688" s="18"/>
      <c r="F1688" s="18"/>
      <c r="G1688" s="18"/>
      <c r="H1688" s="18"/>
      <c r="I1688" s="18"/>
      <c r="J1688" s="18"/>
      <c r="K1688" s="184"/>
    </row>
    <row r="1689" spans="1:11" ht="14.5">
      <c r="B1689" s="18"/>
      <c r="C1689" s="18"/>
      <c r="D1689" s="79"/>
      <c r="E1689" s="83"/>
      <c r="F1689" s="18"/>
      <c r="G1689" s="18"/>
      <c r="H1689" s="18"/>
      <c r="I1689" s="18"/>
      <c r="J1689" s="18"/>
      <c r="K1689" s="184"/>
    </row>
    <row r="1690" spans="1:11" ht="31">
      <c r="A1690" s="173" t="s">
        <v>181</v>
      </c>
      <c r="B1690" s="23" t="s">
        <v>173</v>
      </c>
      <c r="C1690" s="24" t="s">
        <v>320</v>
      </c>
      <c r="D1690" s="25" t="s">
        <v>183</v>
      </c>
      <c r="E1690" s="93"/>
      <c r="K1690" s="184"/>
    </row>
    <row r="1691" spans="1:11" ht="14.5">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t="str">
        <f>IF(AND(B1691&lt;&gt;"",C1691&lt;&gt;""),"N/T","")</f>
        <v/>
      </c>
      <c r="E1691" s="79" t="str">
        <f t="shared" ref="E1691:E1725" si="88">IF(D1691&lt;&gt;"",IF(AND(B1691&lt;&gt;"",C1691&lt;&gt;""),"","ERR"),"")</f>
        <v/>
      </c>
      <c r="F1691" s="86" t="s">
        <v>185</v>
      </c>
      <c r="G1691" s="87" t="s">
        <v>186</v>
      </c>
      <c r="H1691" s="88" t="s">
        <v>184</v>
      </c>
      <c r="I1691" s="89" t="s">
        <v>176</v>
      </c>
      <c r="J1691" s="90" t="s">
        <v>174</v>
      </c>
      <c r="K1691" s="179" t="s">
        <v>180</v>
      </c>
    </row>
    <row r="1692" spans="1:11" ht="14.5">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4.5">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4.5">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4.5">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4.5">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4.5">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4.5">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4.5">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4.5">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4.5">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4.5">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4.5">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4.5">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4.5">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4.5">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4.5">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4.5">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4.5">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4.5">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4.5">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4.5">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4.5">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4.5">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4.5">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4.5">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4.5">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4.5">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4.5">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4.5">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4.5">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4.5">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4.5">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4.5">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4.5">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D19:D53">
    <cfRule type="expression" dxfId="540" priority="350" stopIfTrue="1">
      <formula>ISBLANK(D19)</formula>
    </cfRule>
    <cfRule type="cellIs" dxfId="539" priority="355" stopIfTrue="1" operator="equal">
      <formula>"N/D"</formula>
    </cfRule>
    <cfRule type="cellIs" dxfId="538" priority="354" stopIfTrue="1" operator="equal">
      <formula>"N/T"</formula>
    </cfRule>
    <cfRule type="cellIs" dxfId="537" priority="353" stopIfTrue="1" operator="equal">
      <formula>"N/A"</formula>
    </cfRule>
    <cfRule type="cellIs" dxfId="536" priority="352" stopIfTrue="1" operator="equal">
      <formula>"Falla"</formula>
    </cfRule>
    <cfRule type="cellIs" dxfId="535" priority="351" stopIfTrue="1" operator="equal">
      <formula>"Pasa"</formula>
    </cfRule>
    <cfRule type="cellIs" dxfId="534" priority="349" stopIfTrue="1" operator="equal">
      <formula>"-"</formula>
    </cfRule>
  </conditionalFormatting>
  <conditionalFormatting sqref="D57:D91">
    <cfRule type="cellIs" dxfId="533" priority="348" stopIfTrue="1" operator="equal">
      <formula>"N/D"</formula>
    </cfRule>
    <cfRule type="cellIs" dxfId="532" priority="347" stopIfTrue="1" operator="equal">
      <formula>"N/T"</formula>
    </cfRule>
    <cfRule type="cellIs" dxfId="531" priority="346" stopIfTrue="1" operator="equal">
      <formula>"N/A"</formula>
    </cfRule>
    <cfRule type="cellIs" dxfId="530" priority="345" stopIfTrue="1" operator="equal">
      <formula>"Falla"</formula>
    </cfRule>
    <cfRule type="cellIs" dxfId="529" priority="344" stopIfTrue="1" operator="equal">
      <formula>"Pasa"</formula>
    </cfRule>
    <cfRule type="expression" dxfId="528" priority="343" stopIfTrue="1">
      <formula>ISBLANK(D57)</formula>
    </cfRule>
    <cfRule type="cellIs" dxfId="527" priority="342" stopIfTrue="1" operator="equal">
      <formula>"-"</formula>
    </cfRule>
  </conditionalFormatting>
  <conditionalFormatting sqref="D95:D129">
    <cfRule type="cellIs" dxfId="526" priority="341" stopIfTrue="1" operator="equal">
      <formula>"N/D"</formula>
    </cfRule>
    <cfRule type="cellIs" dxfId="525" priority="340" stopIfTrue="1" operator="equal">
      <formula>"N/T"</formula>
    </cfRule>
    <cfRule type="cellIs" dxfId="524" priority="339" stopIfTrue="1" operator="equal">
      <formula>"N/A"</formula>
    </cfRule>
    <cfRule type="cellIs" dxfId="523" priority="338" stopIfTrue="1" operator="equal">
      <formula>"Falla"</formula>
    </cfRule>
    <cfRule type="cellIs" dxfId="522" priority="337" stopIfTrue="1" operator="equal">
      <formula>"Pasa"</formula>
    </cfRule>
    <cfRule type="expression" dxfId="521" priority="336" stopIfTrue="1">
      <formula>ISBLANK(D95)</formula>
    </cfRule>
    <cfRule type="cellIs" dxfId="520" priority="335" stopIfTrue="1" operator="equal">
      <formula>"-"</formula>
    </cfRule>
  </conditionalFormatting>
  <conditionalFormatting sqref="D133:D167">
    <cfRule type="cellIs" dxfId="519" priority="334" stopIfTrue="1" operator="equal">
      <formula>"N/D"</formula>
    </cfRule>
    <cfRule type="cellIs" dxfId="518" priority="333" stopIfTrue="1" operator="equal">
      <formula>"N/T"</formula>
    </cfRule>
    <cfRule type="cellIs" dxfId="517" priority="332" stopIfTrue="1" operator="equal">
      <formula>"N/A"</formula>
    </cfRule>
    <cfRule type="cellIs" dxfId="516" priority="331" stopIfTrue="1" operator="equal">
      <formula>"Falla"</formula>
    </cfRule>
    <cfRule type="cellIs" dxfId="515" priority="330" stopIfTrue="1" operator="equal">
      <formula>"Pasa"</formula>
    </cfRule>
    <cfRule type="expression" dxfId="514" priority="329" stopIfTrue="1">
      <formula>ISBLANK(D133)</formula>
    </cfRule>
    <cfRule type="cellIs" dxfId="513" priority="328" stopIfTrue="1" operator="equal">
      <formula>"-"</formula>
    </cfRule>
  </conditionalFormatting>
  <conditionalFormatting sqref="D171:D205">
    <cfRule type="cellIs" dxfId="512" priority="316" stopIfTrue="1" operator="equal">
      <formula>"Pasa"</formula>
    </cfRule>
    <cfRule type="cellIs" dxfId="511" priority="320" stopIfTrue="1" operator="equal">
      <formula>"N/D"</formula>
    </cfRule>
    <cfRule type="cellIs" dxfId="510" priority="318" stopIfTrue="1" operator="equal">
      <formula>"N/A"</formula>
    </cfRule>
    <cfRule type="cellIs" dxfId="509" priority="317" stopIfTrue="1" operator="equal">
      <formula>"Falla"</formula>
    </cfRule>
    <cfRule type="expression" dxfId="508" priority="315" stopIfTrue="1">
      <formula>ISBLANK(D171)</formula>
    </cfRule>
    <cfRule type="cellIs" dxfId="507" priority="314" stopIfTrue="1" operator="equal">
      <formula>"-"</formula>
    </cfRule>
    <cfRule type="cellIs" dxfId="506" priority="319" stopIfTrue="1" operator="equal">
      <formula>"N/T"</formula>
    </cfRule>
  </conditionalFormatting>
  <conditionalFormatting sqref="D209:D243">
    <cfRule type="cellIs" dxfId="505" priority="313" stopIfTrue="1" operator="equal">
      <formula>"N/D"</formula>
    </cfRule>
    <cfRule type="cellIs" dxfId="504" priority="312" stopIfTrue="1" operator="equal">
      <formula>"N/T"</formula>
    </cfRule>
    <cfRule type="cellIs" dxfId="503" priority="311" stopIfTrue="1" operator="equal">
      <formula>"N/A"</formula>
    </cfRule>
    <cfRule type="cellIs" dxfId="502" priority="310" stopIfTrue="1" operator="equal">
      <formula>"Falla"</formula>
    </cfRule>
    <cfRule type="cellIs" dxfId="501" priority="309" stopIfTrue="1" operator="equal">
      <formula>"Pasa"</formula>
    </cfRule>
    <cfRule type="expression" dxfId="500" priority="308" stopIfTrue="1">
      <formula>ISBLANK(D209)</formula>
    </cfRule>
    <cfRule type="cellIs" dxfId="499" priority="307" stopIfTrue="1" operator="equal">
      <formula>"-"</formula>
    </cfRule>
  </conditionalFormatting>
  <conditionalFormatting sqref="D247:D281">
    <cfRule type="cellIs" dxfId="498" priority="306" stopIfTrue="1" operator="equal">
      <formula>"N/D"</formula>
    </cfRule>
    <cfRule type="cellIs" dxfId="497" priority="305" stopIfTrue="1" operator="equal">
      <formula>"N/T"</formula>
    </cfRule>
    <cfRule type="cellIs" dxfId="496" priority="304" stopIfTrue="1" operator="equal">
      <formula>"N/A"</formula>
    </cfRule>
    <cfRule type="cellIs" dxfId="495" priority="303" stopIfTrue="1" operator="equal">
      <formula>"Falla"</formula>
    </cfRule>
    <cfRule type="cellIs" dxfId="494" priority="302" stopIfTrue="1" operator="equal">
      <formula>"Pasa"</formula>
    </cfRule>
    <cfRule type="expression" dxfId="493" priority="301" stopIfTrue="1">
      <formula>ISBLANK(D247)</formula>
    </cfRule>
    <cfRule type="cellIs" dxfId="492" priority="300" stopIfTrue="1" operator="equal">
      <formula>"-"</formula>
    </cfRule>
  </conditionalFormatting>
  <conditionalFormatting sqref="D285:D319">
    <cfRule type="cellIs" dxfId="491" priority="297" stopIfTrue="1" operator="equal">
      <formula>"N/A"</formula>
    </cfRule>
    <cfRule type="cellIs" dxfId="490" priority="299" stopIfTrue="1" operator="equal">
      <formula>"N/D"</formula>
    </cfRule>
    <cfRule type="cellIs" dxfId="489" priority="298" stopIfTrue="1" operator="equal">
      <formula>"N/T"</formula>
    </cfRule>
    <cfRule type="cellIs" dxfId="488" priority="296" stopIfTrue="1" operator="equal">
      <formula>"Falla"</formula>
    </cfRule>
    <cfRule type="cellIs" dxfId="487" priority="295" stopIfTrue="1" operator="equal">
      <formula>"Pasa"</formula>
    </cfRule>
    <cfRule type="expression" dxfId="486" priority="294" stopIfTrue="1">
      <formula>ISBLANK(D285)</formula>
    </cfRule>
    <cfRule type="cellIs" dxfId="485" priority="293" stopIfTrue="1" operator="equal">
      <formula>"-"</formula>
    </cfRule>
  </conditionalFormatting>
  <conditionalFormatting sqref="D323:D357">
    <cfRule type="cellIs" dxfId="484" priority="288" stopIfTrue="1" operator="equal">
      <formula>"Pasa"</formula>
    </cfRule>
    <cfRule type="cellIs" dxfId="483" priority="286" stopIfTrue="1" operator="equal">
      <formula>"-"</formula>
    </cfRule>
    <cfRule type="cellIs" dxfId="482" priority="292" stopIfTrue="1" operator="equal">
      <formula>"N/D"</formula>
    </cfRule>
    <cfRule type="cellIs" dxfId="481" priority="291" stopIfTrue="1" operator="equal">
      <formula>"N/T"</formula>
    </cfRule>
    <cfRule type="expression" dxfId="480" priority="287" stopIfTrue="1">
      <formula>ISBLANK(D323)</formula>
    </cfRule>
    <cfRule type="cellIs" dxfId="479" priority="290" stopIfTrue="1" operator="equal">
      <formula>"N/A"</formula>
    </cfRule>
    <cfRule type="cellIs" dxfId="478" priority="289" stopIfTrue="1" operator="equal">
      <formula>"Falla"</formula>
    </cfRule>
  </conditionalFormatting>
  <conditionalFormatting sqref="D361:D395">
    <cfRule type="cellIs" dxfId="477" priority="279" stopIfTrue="1" operator="equal">
      <formula>"-"</formula>
    </cfRule>
    <cfRule type="cellIs" dxfId="476" priority="285" stopIfTrue="1" operator="equal">
      <formula>"N/D"</formula>
    </cfRule>
    <cfRule type="cellIs" dxfId="475" priority="284" stopIfTrue="1" operator="equal">
      <formula>"N/T"</formula>
    </cfRule>
    <cfRule type="cellIs" dxfId="474" priority="283" stopIfTrue="1" operator="equal">
      <formula>"N/A"</formula>
    </cfRule>
    <cfRule type="cellIs" dxfId="473" priority="282" stopIfTrue="1" operator="equal">
      <formula>"Falla"</formula>
    </cfRule>
    <cfRule type="cellIs" dxfId="472" priority="281" stopIfTrue="1" operator="equal">
      <formula>"Pasa"</formula>
    </cfRule>
    <cfRule type="expression" dxfId="471" priority="280" stopIfTrue="1">
      <formula>ISBLANK(D361)</formula>
    </cfRule>
  </conditionalFormatting>
  <conditionalFormatting sqref="D399:D433">
    <cfRule type="cellIs" dxfId="470" priority="278" stopIfTrue="1" operator="equal">
      <formula>"N/D"</formula>
    </cfRule>
    <cfRule type="cellIs" dxfId="469" priority="275" stopIfTrue="1" operator="equal">
      <formula>"Falla"</formula>
    </cfRule>
    <cfRule type="cellIs" dxfId="468" priority="277" stopIfTrue="1" operator="equal">
      <formula>"N/T"</formula>
    </cfRule>
    <cfRule type="cellIs" dxfId="467" priority="276" stopIfTrue="1" operator="equal">
      <formula>"N/A"</formula>
    </cfRule>
    <cfRule type="cellIs" dxfId="466" priority="274" stopIfTrue="1" operator="equal">
      <formula>"Pasa"</formula>
    </cfRule>
    <cfRule type="expression" dxfId="465" priority="273" stopIfTrue="1">
      <formula>ISBLANK(D399)</formula>
    </cfRule>
    <cfRule type="cellIs" dxfId="464" priority="272" stopIfTrue="1" operator="equal">
      <formula>"-"</formula>
    </cfRule>
  </conditionalFormatting>
  <conditionalFormatting sqref="D437:D471">
    <cfRule type="cellIs" dxfId="463" priority="271" stopIfTrue="1" operator="equal">
      <formula>"N/D"</formula>
    </cfRule>
    <cfRule type="cellIs" dxfId="462" priority="270" stopIfTrue="1" operator="equal">
      <formula>"N/T"</formula>
    </cfRule>
    <cfRule type="cellIs" dxfId="461" priority="269" stopIfTrue="1" operator="equal">
      <formula>"N/A"</formula>
    </cfRule>
    <cfRule type="cellIs" dxfId="460" priority="268" stopIfTrue="1" operator="equal">
      <formula>"Falla"</formula>
    </cfRule>
    <cfRule type="cellIs" dxfId="459" priority="267" stopIfTrue="1" operator="equal">
      <formula>"Pasa"</formula>
    </cfRule>
    <cfRule type="expression" dxfId="458" priority="266" stopIfTrue="1">
      <formula>ISBLANK(D437)</formula>
    </cfRule>
    <cfRule type="cellIs" dxfId="457" priority="265" stopIfTrue="1" operator="equal">
      <formula>"-"</formula>
    </cfRule>
  </conditionalFormatting>
  <conditionalFormatting sqref="D475:D509">
    <cfRule type="cellIs" dxfId="456" priority="264" stopIfTrue="1" operator="equal">
      <formula>"N/D"</formula>
    </cfRule>
    <cfRule type="cellIs" dxfId="455" priority="263" stopIfTrue="1" operator="equal">
      <formula>"N/T"</formula>
    </cfRule>
    <cfRule type="cellIs" dxfId="454" priority="262" stopIfTrue="1" operator="equal">
      <formula>"N/A"</formula>
    </cfRule>
    <cfRule type="cellIs" dxfId="453" priority="261" stopIfTrue="1" operator="equal">
      <formula>"Falla"</formula>
    </cfRule>
    <cfRule type="cellIs" dxfId="452" priority="260" stopIfTrue="1" operator="equal">
      <formula>"Pasa"</formula>
    </cfRule>
    <cfRule type="expression" dxfId="451" priority="259" stopIfTrue="1">
      <formula>ISBLANK(D475)</formula>
    </cfRule>
    <cfRule type="cellIs" dxfId="450" priority="258" stopIfTrue="1" operator="equal">
      <formula>"-"</formula>
    </cfRule>
  </conditionalFormatting>
  <conditionalFormatting sqref="D513:D547">
    <cfRule type="cellIs" dxfId="449" priority="257" stopIfTrue="1" operator="equal">
      <formula>"N/D"</formula>
    </cfRule>
    <cfRule type="cellIs" dxfId="448" priority="256" stopIfTrue="1" operator="equal">
      <formula>"N/T"</formula>
    </cfRule>
    <cfRule type="cellIs" dxfId="447" priority="255" stopIfTrue="1" operator="equal">
      <formula>"N/A"</formula>
    </cfRule>
    <cfRule type="cellIs" dxfId="446" priority="254" stopIfTrue="1" operator="equal">
      <formula>"Falla"</formula>
    </cfRule>
    <cfRule type="expression" dxfId="445" priority="252" stopIfTrue="1">
      <formula>ISBLANK(D513)</formula>
    </cfRule>
    <cfRule type="cellIs" dxfId="444" priority="253" stopIfTrue="1" operator="equal">
      <formula>"Pasa"</formula>
    </cfRule>
    <cfRule type="cellIs" dxfId="443" priority="251" stopIfTrue="1" operator="equal">
      <formula>"-"</formula>
    </cfRule>
  </conditionalFormatting>
  <conditionalFormatting sqref="D551:D585">
    <cfRule type="cellIs" dxfId="442" priority="250" stopIfTrue="1" operator="equal">
      <formula>"N/D"</formula>
    </cfRule>
    <cfRule type="cellIs" dxfId="441" priority="249" stopIfTrue="1" operator="equal">
      <formula>"N/T"</formula>
    </cfRule>
    <cfRule type="cellIs" dxfId="440" priority="248" stopIfTrue="1" operator="equal">
      <formula>"N/A"</formula>
    </cfRule>
    <cfRule type="cellIs" dxfId="439" priority="247" stopIfTrue="1" operator="equal">
      <formula>"Falla"</formula>
    </cfRule>
    <cfRule type="cellIs" dxfId="438" priority="246" stopIfTrue="1" operator="equal">
      <formula>"Pasa"</formula>
    </cfRule>
    <cfRule type="expression" dxfId="437" priority="245" stopIfTrue="1">
      <formula>ISBLANK(D551)</formula>
    </cfRule>
    <cfRule type="cellIs" dxfId="436" priority="244" stopIfTrue="1" operator="equal">
      <formula>"-"</formula>
    </cfRule>
  </conditionalFormatting>
  <conditionalFormatting sqref="D589:D623">
    <cfRule type="expression" dxfId="435" priority="238" stopIfTrue="1">
      <formula>ISBLANK(D589)</formula>
    </cfRule>
    <cfRule type="cellIs" dxfId="434" priority="243" stopIfTrue="1" operator="equal">
      <formula>"N/D"</formula>
    </cfRule>
    <cfRule type="cellIs" dxfId="433" priority="242" stopIfTrue="1" operator="equal">
      <formula>"N/T"</formula>
    </cfRule>
    <cfRule type="cellIs" dxfId="432" priority="241" stopIfTrue="1" operator="equal">
      <formula>"N/A"</formula>
    </cfRule>
    <cfRule type="cellIs" dxfId="431" priority="240" stopIfTrue="1" operator="equal">
      <formula>"Falla"</formula>
    </cfRule>
    <cfRule type="cellIs" dxfId="430" priority="239" stopIfTrue="1" operator="equal">
      <formula>"Pasa"</formula>
    </cfRule>
    <cfRule type="cellIs" dxfId="429" priority="237" stopIfTrue="1" operator="equal">
      <formula>"-"</formula>
    </cfRule>
  </conditionalFormatting>
  <conditionalFormatting sqref="D627:D661">
    <cfRule type="cellIs" dxfId="428" priority="236" stopIfTrue="1" operator="equal">
      <formula>"N/D"</formula>
    </cfRule>
    <cfRule type="cellIs" dxfId="427" priority="234" stopIfTrue="1" operator="equal">
      <formula>"N/A"</formula>
    </cfRule>
    <cfRule type="cellIs" dxfId="426" priority="233" stopIfTrue="1" operator="equal">
      <formula>"Falla"</formula>
    </cfRule>
    <cfRule type="cellIs" dxfId="425" priority="232" stopIfTrue="1" operator="equal">
      <formula>"Pasa"</formula>
    </cfRule>
    <cfRule type="expression" dxfId="424" priority="231" stopIfTrue="1">
      <formula>ISBLANK(D627)</formula>
    </cfRule>
    <cfRule type="cellIs" dxfId="423" priority="230" stopIfTrue="1" operator="equal">
      <formula>"-"</formula>
    </cfRule>
    <cfRule type="cellIs" dxfId="422" priority="235" stopIfTrue="1" operator="equal">
      <formula>"N/T"</formula>
    </cfRule>
  </conditionalFormatting>
  <conditionalFormatting sqref="D665:D699">
    <cfRule type="cellIs" dxfId="421" priority="223" stopIfTrue="1" operator="equal">
      <formula>"-"</formula>
    </cfRule>
    <cfRule type="expression" dxfId="420" priority="224" stopIfTrue="1">
      <formula>ISBLANK(D665)</formula>
    </cfRule>
    <cfRule type="cellIs" dxfId="419" priority="226" stopIfTrue="1" operator="equal">
      <formula>"Falla"</formula>
    </cfRule>
    <cfRule type="cellIs" dxfId="418" priority="225" stopIfTrue="1" operator="equal">
      <formula>"Pasa"</formula>
    </cfRule>
    <cfRule type="cellIs" dxfId="417" priority="229" stopIfTrue="1" operator="equal">
      <formula>"N/D"</formula>
    </cfRule>
    <cfRule type="cellIs" dxfId="416" priority="228" stopIfTrue="1" operator="equal">
      <formula>"N/T"</formula>
    </cfRule>
    <cfRule type="cellIs" dxfId="415" priority="227" stopIfTrue="1" operator="equal">
      <formula>"N/A"</formula>
    </cfRule>
  </conditionalFormatting>
  <conditionalFormatting sqref="D703:D737">
    <cfRule type="cellIs" dxfId="414" priority="220" stopIfTrue="1" operator="equal">
      <formula>"N/A"</formula>
    </cfRule>
    <cfRule type="cellIs" dxfId="413" priority="221" stopIfTrue="1" operator="equal">
      <formula>"N/T"</formula>
    </cfRule>
    <cfRule type="cellIs" dxfId="412" priority="222" stopIfTrue="1" operator="equal">
      <formula>"N/D"</formula>
    </cfRule>
    <cfRule type="cellIs" dxfId="411" priority="219" stopIfTrue="1" operator="equal">
      <formula>"Falla"</formula>
    </cfRule>
    <cfRule type="cellIs" dxfId="410" priority="218" stopIfTrue="1" operator="equal">
      <formula>"Pasa"</formula>
    </cfRule>
    <cfRule type="expression" dxfId="409" priority="217" stopIfTrue="1">
      <formula>ISBLANK(D703)</formula>
    </cfRule>
    <cfRule type="cellIs" dxfId="408" priority="216" stopIfTrue="1" operator="equal">
      <formula>"-"</formula>
    </cfRule>
  </conditionalFormatting>
  <conditionalFormatting sqref="D741:D775">
    <cfRule type="cellIs" dxfId="407" priority="215" stopIfTrue="1" operator="equal">
      <formula>"N/D"</formula>
    </cfRule>
    <cfRule type="cellIs" dxfId="406" priority="214" stopIfTrue="1" operator="equal">
      <formula>"N/T"</formula>
    </cfRule>
    <cfRule type="cellIs" dxfId="405" priority="213" stopIfTrue="1" operator="equal">
      <formula>"N/A"</formula>
    </cfRule>
    <cfRule type="cellIs" dxfId="404" priority="212" stopIfTrue="1" operator="equal">
      <formula>"Falla"</formula>
    </cfRule>
    <cfRule type="cellIs" dxfId="403" priority="211" stopIfTrue="1" operator="equal">
      <formula>"Pasa"</formula>
    </cfRule>
    <cfRule type="expression" dxfId="402" priority="210" stopIfTrue="1">
      <formula>ISBLANK(D741)</formula>
    </cfRule>
    <cfRule type="cellIs" dxfId="401" priority="209" stopIfTrue="1" operator="equal">
      <formula>"-"</formula>
    </cfRule>
  </conditionalFormatting>
  <conditionalFormatting sqref="D779:D813">
    <cfRule type="cellIs" dxfId="400" priority="208" stopIfTrue="1" operator="equal">
      <formula>"N/D"</formula>
    </cfRule>
    <cfRule type="cellIs" dxfId="399" priority="207" stopIfTrue="1" operator="equal">
      <formula>"N/T"</formula>
    </cfRule>
    <cfRule type="cellIs" dxfId="398" priority="206" stopIfTrue="1" operator="equal">
      <formula>"N/A"</formula>
    </cfRule>
    <cfRule type="cellIs" dxfId="397" priority="205" stopIfTrue="1" operator="equal">
      <formula>"Falla"</formula>
    </cfRule>
    <cfRule type="cellIs" dxfId="396" priority="204" stopIfTrue="1" operator="equal">
      <formula>"Pasa"</formula>
    </cfRule>
    <cfRule type="expression" dxfId="395" priority="203" stopIfTrue="1">
      <formula>ISBLANK(D779)</formula>
    </cfRule>
    <cfRule type="cellIs" dxfId="394" priority="202" stopIfTrue="1" operator="equal">
      <formula>"-"</formula>
    </cfRule>
  </conditionalFormatting>
  <conditionalFormatting sqref="D817:D851">
    <cfRule type="cellIs" dxfId="393" priority="199" stopIfTrue="1" operator="equal">
      <formula>"N/A"</formula>
    </cfRule>
    <cfRule type="cellIs" dxfId="392" priority="198" stopIfTrue="1" operator="equal">
      <formula>"Falla"</formula>
    </cfRule>
    <cfRule type="cellIs" dxfId="391" priority="200" stopIfTrue="1" operator="equal">
      <formula>"N/T"</formula>
    </cfRule>
    <cfRule type="cellIs" dxfId="390" priority="201" stopIfTrue="1" operator="equal">
      <formula>"N/D"</formula>
    </cfRule>
    <cfRule type="cellIs" dxfId="389" priority="195" stopIfTrue="1" operator="equal">
      <formula>"-"</formula>
    </cfRule>
    <cfRule type="expression" dxfId="388" priority="196" stopIfTrue="1">
      <formula>ISBLANK(D817)</formula>
    </cfRule>
    <cfRule type="cellIs" dxfId="387" priority="197" stopIfTrue="1" operator="equal">
      <formula>"Pasa"</formula>
    </cfRule>
  </conditionalFormatting>
  <conditionalFormatting sqref="D855:D889">
    <cfRule type="cellIs" dxfId="386" priority="188" stopIfTrue="1" operator="equal">
      <formula>"-"</formula>
    </cfRule>
    <cfRule type="expression" dxfId="385" priority="189" stopIfTrue="1">
      <formula>ISBLANK(D855)</formula>
    </cfRule>
    <cfRule type="cellIs" dxfId="384" priority="190" stopIfTrue="1" operator="equal">
      <formula>"Pasa"</formula>
    </cfRule>
    <cfRule type="cellIs" dxfId="383" priority="191" stopIfTrue="1" operator="equal">
      <formula>"Falla"</formula>
    </cfRule>
    <cfRule type="cellIs" dxfId="382" priority="192" stopIfTrue="1" operator="equal">
      <formula>"N/A"</formula>
    </cfRule>
    <cfRule type="cellIs" dxfId="381" priority="193" stopIfTrue="1" operator="equal">
      <formula>"N/T"</formula>
    </cfRule>
    <cfRule type="cellIs" dxfId="380" priority="194" stopIfTrue="1" operator="equal">
      <formula>"N/D"</formula>
    </cfRule>
  </conditionalFormatting>
  <conditionalFormatting sqref="D893:D927">
    <cfRule type="cellIs" dxfId="379" priority="185" stopIfTrue="1" operator="equal">
      <formula>"N/A"</formula>
    </cfRule>
    <cfRule type="cellIs" dxfId="378" priority="187" stopIfTrue="1" operator="equal">
      <formula>"N/D"</formula>
    </cfRule>
    <cfRule type="cellIs" dxfId="377" priority="186" stopIfTrue="1" operator="equal">
      <formula>"N/T"</formula>
    </cfRule>
    <cfRule type="cellIs" dxfId="376" priority="184" stopIfTrue="1" operator="equal">
      <formula>"Falla"</formula>
    </cfRule>
    <cfRule type="cellIs" dxfId="375" priority="183" stopIfTrue="1" operator="equal">
      <formula>"Pasa"</formula>
    </cfRule>
    <cfRule type="expression" dxfId="374" priority="182" stopIfTrue="1">
      <formula>ISBLANK(D893)</formula>
    </cfRule>
    <cfRule type="cellIs" dxfId="373" priority="181" stopIfTrue="1" operator="equal">
      <formula>"-"</formula>
    </cfRule>
  </conditionalFormatting>
  <conditionalFormatting sqref="D931:D965">
    <cfRule type="cellIs" dxfId="372" priority="176" stopIfTrue="1" operator="equal">
      <formula>"Pasa"</formula>
    </cfRule>
    <cfRule type="cellIs" dxfId="371" priority="180" stopIfTrue="1" operator="equal">
      <formula>"N/D"</formula>
    </cfRule>
    <cfRule type="cellIs" dxfId="370" priority="179" stopIfTrue="1" operator="equal">
      <formula>"N/T"</formula>
    </cfRule>
    <cfRule type="cellIs" dxfId="369" priority="178" stopIfTrue="1" operator="equal">
      <formula>"N/A"</formula>
    </cfRule>
    <cfRule type="cellIs" dxfId="368" priority="177" stopIfTrue="1" operator="equal">
      <formula>"Falla"</formula>
    </cfRule>
    <cfRule type="expression" dxfId="367" priority="175" stopIfTrue="1">
      <formula>ISBLANK(D931)</formula>
    </cfRule>
    <cfRule type="cellIs" dxfId="366" priority="174" stopIfTrue="1" operator="equal">
      <formula>"-"</formula>
    </cfRule>
  </conditionalFormatting>
  <conditionalFormatting sqref="D969:D1003">
    <cfRule type="cellIs" dxfId="365" priority="173" stopIfTrue="1" operator="equal">
      <formula>"N/D"</formula>
    </cfRule>
    <cfRule type="cellIs" dxfId="364" priority="172" stopIfTrue="1" operator="equal">
      <formula>"N/T"</formula>
    </cfRule>
    <cfRule type="cellIs" dxfId="363" priority="171" stopIfTrue="1" operator="equal">
      <formula>"N/A"</formula>
    </cfRule>
    <cfRule type="cellIs" dxfId="362" priority="170" stopIfTrue="1" operator="equal">
      <formula>"Falla"</formula>
    </cfRule>
    <cfRule type="cellIs" dxfId="361" priority="169" stopIfTrue="1" operator="equal">
      <formula>"Pasa"</formula>
    </cfRule>
    <cfRule type="expression" dxfId="360" priority="168" stopIfTrue="1">
      <formula>ISBLANK(D969)</formula>
    </cfRule>
    <cfRule type="cellIs" dxfId="359" priority="167" stopIfTrue="1" operator="equal">
      <formula>"-"</formula>
    </cfRule>
  </conditionalFormatting>
  <conditionalFormatting sqref="D1007:D1041">
    <cfRule type="cellIs" dxfId="358" priority="166" stopIfTrue="1" operator="equal">
      <formula>"N/D"</formula>
    </cfRule>
    <cfRule type="cellIs" dxfId="357" priority="165" stopIfTrue="1" operator="equal">
      <formula>"N/T"</formula>
    </cfRule>
    <cfRule type="cellIs" dxfId="356" priority="164" stopIfTrue="1" operator="equal">
      <formula>"N/A"</formula>
    </cfRule>
    <cfRule type="cellIs" dxfId="355" priority="163" stopIfTrue="1" operator="equal">
      <formula>"Falla"</formula>
    </cfRule>
    <cfRule type="cellIs" dxfId="354" priority="162" stopIfTrue="1" operator="equal">
      <formula>"Pasa"</formula>
    </cfRule>
    <cfRule type="expression" dxfId="353" priority="161" stopIfTrue="1">
      <formula>ISBLANK(D1007)</formula>
    </cfRule>
    <cfRule type="cellIs" dxfId="352" priority="160" stopIfTrue="1" operator="equal">
      <formula>"-"</formula>
    </cfRule>
  </conditionalFormatting>
  <conditionalFormatting sqref="D1045:D1079">
    <cfRule type="cellIs" dxfId="351" priority="159" stopIfTrue="1" operator="equal">
      <formula>"N/D"</formula>
    </cfRule>
    <cfRule type="cellIs" dxfId="350" priority="158" stopIfTrue="1" operator="equal">
      <formula>"N/T"</formula>
    </cfRule>
    <cfRule type="cellIs" dxfId="349" priority="157" stopIfTrue="1" operator="equal">
      <formula>"N/A"</formula>
    </cfRule>
    <cfRule type="cellIs" dxfId="348" priority="156" stopIfTrue="1" operator="equal">
      <formula>"Falla"</formula>
    </cfRule>
    <cfRule type="cellIs" dxfId="347" priority="155" stopIfTrue="1" operator="equal">
      <formula>"Pasa"</formula>
    </cfRule>
    <cfRule type="expression" dxfId="346" priority="154" stopIfTrue="1">
      <formula>ISBLANK(D1045)</formula>
    </cfRule>
    <cfRule type="cellIs" dxfId="345" priority="153" stopIfTrue="1" operator="equal">
      <formula>"-"</formula>
    </cfRule>
  </conditionalFormatting>
  <conditionalFormatting sqref="D1083:D1117">
    <cfRule type="cellIs" dxfId="344" priority="148" stopIfTrue="1" operator="equal">
      <formula>"Pasa"</formula>
    </cfRule>
    <cfRule type="cellIs" dxfId="343" priority="151" stopIfTrue="1" operator="equal">
      <formula>"N/T"</formula>
    </cfRule>
    <cfRule type="cellIs" dxfId="342" priority="150" stopIfTrue="1" operator="equal">
      <formula>"N/A"</formula>
    </cfRule>
    <cfRule type="cellIs" dxfId="341" priority="149" stopIfTrue="1" operator="equal">
      <formula>"Falla"</formula>
    </cfRule>
    <cfRule type="expression" dxfId="340" priority="147" stopIfTrue="1">
      <formula>ISBLANK(D1083)</formula>
    </cfRule>
    <cfRule type="cellIs" dxfId="339" priority="152" stopIfTrue="1" operator="equal">
      <formula>"N/D"</formula>
    </cfRule>
    <cfRule type="cellIs" dxfId="338" priority="146" stopIfTrue="1" operator="equal">
      <formula>"-"</formula>
    </cfRule>
  </conditionalFormatting>
  <conditionalFormatting sqref="D1121:D1155">
    <cfRule type="cellIs" dxfId="337" priority="145" stopIfTrue="1" operator="equal">
      <formula>"N/D"</formula>
    </cfRule>
    <cfRule type="cellIs" dxfId="336" priority="144" stopIfTrue="1" operator="equal">
      <formula>"N/T"</formula>
    </cfRule>
    <cfRule type="cellIs" dxfId="335" priority="143" stopIfTrue="1" operator="equal">
      <formula>"N/A"</formula>
    </cfRule>
    <cfRule type="cellIs" dxfId="334" priority="142" stopIfTrue="1" operator="equal">
      <formula>"Falla"</formula>
    </cfRule>
    <cfRule type="cellIs" dxfId="333" priority="141" stopIfTrue="1" operator="equal">
      <formula>"Pasa"</formula>
    </cfRule>
    <cfRule type="expression" dxfId="332" priority="140" stopIfTrue="1">
      <formula>ISBLANK(D1121)</formula>
    </cfRule>
    <cfRule type="cellIs" dxfId="331" priority="139" stopIfTrue="1" operator="equal">
      <formula>"-"</formula>
    </cfRule>
  </conditionalFormatting>
  <conditionalFormatting sqref="D1159:D1193">
    <cfRule type="cellIs" dxfId="330" priority="132" stopIfTrue="1" operator="equal">
      <formula>"-"</formula>
    </cfRule>
    <cfRule type="expression" dxfId="329" priority="133" stopIfTrue="1">
      <formula>ISBLANK(D1159)</formula>
    </cfRule>
    <cfRule type="cellIs" dxfId="328" priority="134" stopIfTrue="1" operator="equal">
      <formula>"Pasa"</formula>
    </cfRule>
    <cfRule type="cellIs" dxfId="327" priority="135" stopIfTrue="1" operator="equal">
      <formula>"Falla"</formula>
    </cfRule>
    <cfRule type="cellIs" dxfId="326" priority="138" stopIfTrue="1" operator="equal">
      <formula>"N/D"</formula>
    </cfRule>
    <cfRule type="cellIs" dxfId="325" priority="136" stopIfTrue="1" operator="equal">
      <formula>"N/A"</formula>
    </cfRule>
    <cfRule type="cellIs" dxfId="324" priority="137" stopIfTrue="1" operator="equal">
      <formula>"N/T"</formula>
    </cfRule>
  </conditionalFormatting>
  <conditionalFormatting sqref="D1197:D1231">
    <cfRule type="cellIs" dxfId="323" priority="131" stopIfTrue="1" operator="equal">
      <formula>"N/D"</formula>
    </cfRule>
    <cfRule type="cellIs" dxfId="322" priority="130" stopIfTrue="1" operator="equal">
      <formula>"N/T"</formula>
    </cfRule>
    <cfRule type="cellIs" dxfId="321" priority="129" stopIfTrue="1" operator="equal">
      <formula>"N/A"</formula>
    </cfRule>
    <cfRule type="cellIs" dxfId="320" priority="128" stopIfTrue="1" operator="equal">
      <formula>"Falla"</formula>
    </cfRule>
    <cfRule type="cellIs" dxfId="319" priority="127" stopIfTrue="1" operator="equal">
      <formula>"Pasa"</formula>
    </cfRule>
    <cfRule type="expression" dxfId="318" priority="126" stopIfTrue="1">
      <formula>ISBLANK(D1197)</formula>
    </cfRule>
    <cfRule type="cellIs" dxfId="317" priority="125" stopIfTrue="1" operator="equal">
      <formula>"-"</formula>
    </cfRule>
  </conditionalFormatting>
  <conditionalFormatting sqref="D1235:D1269">
    <cfRule type="cellIs" dxfId="316" priority="123" stopIfTrue="1" operator="equal">
      <formula>"N/T"</formula>
    </cfRule>
    <cfRule type="cellIs" dxfId="315" priority="124" stopIfTrue="1" operator="equal">
      <formula>"N/D"</formula>
    </cfRule>
    <cfRule type="cellIs" dxfId="314" priority="122" stopIfTrue="1" operator="equal">
      <formula>"N/A"</formula>
    </cfRule>
    <cfRule type="cellIs" dxfId="313" priority="121" stopIfTrue="1" operator="equal">
      <formula>"Falla"</formula>
    </cfRule>
    <cfRule type="cellIs" dxfId="312" priority="120" stopIfTrue="1" operator="equal">
      <formula>"Pasa"</formula>
    </cfRule>
    <cfRule type="expression" dxfId="311" priority="119" stopIfTrue="1">
      <formula>ISBLANK(D1235)</formula>
    </cfRule>
    <cfRule type="cellIs" dxfId="310" priority="118" stopIfTrue="1" operator="equal">
      <formula>"-"</formula>
    </cfRule>
  </conditionalFormatting>
  <conditionalFormatting sqref="D1273:D1307">
    <cfRule type="cellIs" dxfId="309" priority="111" stopIfTrue="1" operator="equal">
      <formula>"-"</formula>
    </cfRule>
    <cfRule type="cellIs" dxfId="308" priority="117" stopIfTrue="1" operator="equal">
      <formula>"N/D"</formula>
    </cfRule>
    <cfRule type="cellIs" dxfId="307" priority="113" stopIfTrue="1" operator="equal">
      <formula>"Pasa"</formula>
    </cfRule>
    <cfRule type="cellIs" dxfId="306" priority="114" stopIfTrue="1" operator="equal">
      <formula>"Falla"</formula>
    </cfRule>
    <cfRule type="cellIs" dxfId="305" priority="115" stopIfTrue="1" operator="equal">
      <formula>"N/A"</formula>
    </cfRule>
    <cfRule type="cellIs" dxfId="304" priority="116" stopIfTrue="1" operator="equal">
      <formula>"N/T"</formula>
    </cfRule>
    <cfRule type="expression" dxfId="303" priority="112" stopIfTrue="1">
      <formula>ISBLANK(D1273)</formula>
    </cfRule>
  </conditionalFormatting>
  <conditionalFormatting sqref="D1311:D1345">
    <cfRule type="cellIs" dxfId="302" priority="110" stopIfTrue="1" operator="equal">
      <formula>"N/D"</formula>
    </cfRule>
    <cfRule type="cellIs" dxfId="301" priority="104" stopIfTrue="1" operator="equal">
      <formula>"-"</formula>
    </cfRule>
    <cfRule type="cellIs" dxfId="300" priority="108" stopIfTrue="1" operator="equal">
      <formula>"N/A"</formula>
    </cfRule>
    <cfRule type="cellIs" dxfId="299" priority="107" stopIfTrue="1" operator="equal">
      <formula>"Falla"</formula>
    </cfRule>
    <cfRule type="cellIs" dxfId="298" priority="106" stopIfTrue="1" operator="equal">
      <formula>"Pasa"</formula>
    </cfRule>
    <cfRule type="expression" dxfId="297" priority="105" stopIfTrue="1">
      <formula>ISBLANK(D1311)</formula>
    </cfRule>
    <cfRule type="cellIs" dxfId="296" priority="109" stopIfTrue="1" operator="equal">
      <formula>"N/T"</formula>
    </cfRule>
  </conditionalFormatting>
  <conditionalFormatting sqref="D1349:D1383">
    <cfRule type="cellIs" dxfId="295" priority="99" stopIfTrue="1" operator="equal">
      <formula>"Pasa"</formula>
    </cfRule>
    <cfRule type="cellIs" dxfId="294" priority="103" stopIfTrue="1" operator="equal">
      <formula>"N/D"</formula>
    </cfRule>
    <cfRule type="cellIs" dxfId="293" priority="102" stopIfTrue="1" operator="equal">
      <formula>"N/T"</formula>
    </cfRule>
    <cfRule type="cellIs" dxfId="292" priority="101" stopIfTrue="1" operator="equal">
      <formula>"N/A"</formula>
    </cfRule>
    <cfRule type="cellIs" dxfId="291" priority="100" stopIfTrue="1" operator="equal">
      <formula>"Falla"</formula>
    </cfRule>
    <cfRule type="cellIs" dxfId="290" priority="97" stopIfTrue="1" operator="equal">
      <formula>"-"</formula>
    </cfRule>
    <cfRule type="expression" dxfId="289" priority="98" stopIfTrue="1">
      <formula>ISBLANK(D1349)</formula>
    </cfRule>
  </conditionalFormatting>
  <conditionalFormatting sqref="D1387:D1421">
    <cfRule type="cellIs" dxfId="288" priority="96" stopIfTrue="1" operator="equal">
      <formula>"N/D"</formula>
    </cfRule>
    <cfRule type="cellIs" dxfId="287" priority="95" stopIfTrue="1" operator="equal">
      <formula>"N/T"</formula>
    </cfRule>
    <cfRule type="cellIs" dxfId="286" priority="94" stopIfTrue="1" operator="equal">
      <formula>"N/A"</formula>
    </cfRule>
    <cfRule type="cellIs" dxfId="285" priority="93" stopIfTrue="1" operator="equal">
      <formula>"Falla"</formula>
    </cfRule>
    <cfRule type="cellIs" dxfId="284" priority="92" stopIfTrue="1" operator="equal">
      <formula>"Pasa"</formula>
    </cfRule>
    <cfRule type="expression" dxfId="283" priority="91" stopIfTrue="1">
      <formula>ISBLANK(D1387)</formula>
    </cfRule>
    <cfRule type="cellIs" dxfId="282" priority="90" stopIfTrue="1" operator="equal">
      <formula>"-"</formula>
    </cfRule>
  </conditionalFormatting>
  <conditionalFormatting sqref="D1425:D1459">
    <cfRule type="cellIs" dxfId="281" priority="88" stopIfTrue="1" operator="equal">
      <formula>"N/T"</formula>
    </cfRule>
    <cfRule type="cellIs" dxfId="280" priority="89" stopIfTrue="1" operator="equal">
      <formula>"N/D"</formula>
    </cfRule>
    <cfRule type="cellIs" dxfId="279" priority="87" stopIfTrue="1" operator="equal">
      <formula>"N/A"</formula>
    </cfRule>
    <cfRule type="cellIs" dxfId="278" priority="86" stopIfTrue="1" operator="equal">
      <formula>"Falla"</formula>
    </cfRule>
    <cfRule type="cellIs" dxfId="277" priority="85" stopIfTrue="1" operator="equal">
      <formula>"Pasa"</formula>
    </cfRule>
    <cfRule type="expression" dxfId="276" priority="84" stopIfTrue="1">
      <formula>ISBLANK(D1425)</formula>
    </cfRule>
    <cfRule type="cellIs" dxfId="275" priority="83" stopIfTrue="1" operator="equal">
      <formula>"-"</formula>
    </cfRule>
  </conditionalFormatting>
  <conditionalFormatting sqref="D1463:D1497">
    <cfRule type="cellIs" dxfId="274" priority="82" stopIfTrue="1" operator="equal">
      <formula>"N/D"</formula>
    </cfRule>
    <cfRule type="cellIs" dxfId="273" priority="81" stopIfTrue="1" operator="equal">
      <formula>"N/T"</formula>
    </cfRule>
    <cfRule type="cellIs" dxfId="272" priority="80" stopIfTrue="1" operator="equal">
      <formula>"N/A"</formula>
    </cfRule>
    <cfRule type="cellIs" dxfId="271" priority="79" stopIfTrue="1" operator="equal">
      <formula>"Falla"</formula>
    </cfRule>
    <cfRule type="cellIs" dxfId="270" priority="78" stopIfTrue="1" operator="equal">
      <formula>"Pasa"</formula>
    </cfRule>
    <cfRule type="expression" dxfId="269" priority="77" stopIfTrue="1">
      <formula>ISBLANK(D1463)</formula>
    </cfRule>
    <cfRule type="cellIs" dxfId="268" priority="76" stopIfTrue="1" operator="equal">
      <formula>"-"</formula>
    </cfRule>
  </conditionalFormatting>
  <conditionalFormatting sqref="D1501:D1535">
    <cfRule type="cellIs" dxfId="267" priority="75" stopIfTrue="1" operator="equal">
      <formula>"N/D"</formula>
    </cfRule>
    <cfRule type="cellIs" dxfId="266" priority="74" stopIfTrue="1" operator="equal">
      <formula>"N/T"</formula>
    </cfRule>
    <cfRule type="cellIs" dxfId="265" priority="73" stopIfTrue="1" operator="equal">
      <formula>"N/A"</formula>
    </cfRule>
    <cfRule type="cellIs" dxfId="264" priority="72" stopIfTrue="1" operator="equal">
      <formula>"Falla"</formula>
    </cfRule>
    <cfRule type="cellIs" dxfId="263" priority="71" stopIfTrue="1" operator="equal">
      <formula>"Pasa"</formula>
    </cfRule>
    <cfRule type="expression" dxfId="262" priority="70" stopIfTrue="1">
      <formula>ISBLANK(D1501)</formula>
    </cfRule>
    <cfRule type="cellIs" dxfId="261" priority="69" stopIfTrue="1" operator="equal">
      <formula>"-"</formula>
    </cfRule>
  </conditionalFormatting>
  <conditionalFormatting sqref="D1539:D1573">
    <cfRule type="cellIs" dxfId="260" priority="67" stopIfTrue="1" operator="equal">
      <formula>"N/T"</formula>
    </cfRule>
    <cfRule type="cellIs" dxfId="259" priority="66" stopIfTrue="1" operator="equal">
      <formula>"N/A"</formula>
    </cfRule>
    <cfRule type="cellIs" dxfId="258" priority="65" stopIfTrue="1" operator="equal">
      <formula>"Falla"</formula>
    </cfRule>
    <cfRule type="cellIs" dxfId="257" priority="64" stopIfTrue="1" operator="equal">
      <formula>"Pasa"</formula>
    </cfRule>
    <cfRule type="expression" dxfId="256" priority="63" stopIfTrue="1">
      <formula>ISBLANK(D1539)</formula>
    </cfRule>
    <cfRule type="cellIs" dxfId="255" priority="68" stopIfTrue="1" operator="equal">
      <formula>"N/D"</formula>
    </cfRule>
    <cfRule type="cellIs" dxfId="254" priority="62" stopIfTrue="1" operator="equal">
      <formula>"-"</formula>
    </cfRule>
  </conditionalFormatting>
  <conditionalFormatting sqref="D1577:D1611">
    <cfRule type="cellIs" dxfId="253" priority="58" stopIfTrue="1" operator="equal">
      <formula>"Falla"</formula>
    </cfRule>
    <cfRule type="cellIs" dxfId="252" priority="61" stopIfTrue="1" operator="equal">
      <formula>"N/D"</formula>
    </cfRule>
    <cfRule type="cellIs" dxfId="251" priority="60" stopIfTrue="1" operator="equal">
      <formula>"N/T"</formula>
    </cfRule>
    <cfRule type="cellIs" dxfId="250" priority="59" stopIfTrue="1" operator="equal">
      <formula>"N/A"</formula>
    </cfRule>
    <cfRule type="cellIs" dxfId="249" priority="57" stopIfTrue="1" operator="equal">
      <formula>"Pasa"</formula>
    </cfRule>
    <cfRule type="expression" dxfId="248" priority="56" stopIfTrue="1">
      <formula>ISBLANK(D1577)</formula>
    </cfRule>
    <cfRule type="cellIs" dxfId="247" priority="55" stopIfTrue="1" operator="equal">
      <formula>"-"</formula>
    </cfRule>
  </conditionalFormatting>
  <conditionalFormatting sqref="D1615:D1649">
    <cfRule type="cellIs" dxfId="246" priority="54" stopIfTrue="1" operator="equal">
      <formula>"N/D"</formula>
    </cfRule>
    <cfRule type="cellIs" dxfId="245" priority="53" stopIfTrue="1" operator="equal">
      <formula>"N/T"</formula>
    </cfRule>
    <cfRule type="cellIs" dxfId="244" priority="52" stopIfTrue="1" operator="equal">
      <formula>"N/A"</formula>
    </cfRule>
    <cfRule type="cellIs" dxfId="243" priority="51" stopIfTrue="1" operator="equal">
      <formula>"Falla"</formula>
    </cfRule>
    <cfRule type="cellIs" dxfId="242" priority="50" stopIfTrue="1" operator="equal">
      <formula>"Pasa"</formula>
    </cfRule>
    <cfRule type="expression" dxfId="241" priority="49" stopIfTrue="1">
      <formula>ISBLANK(D1615)</formula>
    </cfRule>
    <cfRule type="cellIs" dxfId="240" priority="48" stopIfTrue="1" operator="equal">
      <formula>"-"</formula>
    </cfRule>
  </conditionalFormatting>
  <conditionalFormatting sqref="D1653:D1687">
    <cfRule type="cellIs" dxfId="239" priority="41" stopIfTrue="1" operator="equal">
      <formula>"-"</formula>
    </cfRule>
    <cfRule type="expression" dxfId="238" priority="42" stopIfTrue="1">
      <formula>ISBLANK(D1653)</formula>
    </cfRule>
    <cfRule type="cellIs" dxfId="237" priority="45" stopIfTrue="1" operator="equal">
      <formula>"N/A"</formula>
    </cfRule>
    <cfRule type="cellIs" dxfId="236" priority="43" stopIfTrue="1" operator="equal">
      <formula>"Pasa"</formula>
    </cfRule>
    <cfRule type="cellIs" dxfId="235" priority="44" stopIfTrue="1" operator="equal">
      <formula>"Falla"</formula>
    </cfRule>
    <cfRule type="cellIs" dxfId="234" priority="47" stopIfTrue="1" operator="equal">
      <formula>"N/D"</formula>
    </cfRule>
    <cfRule type="cellIs" dxfId="233" priority="46" stopIfTrue="1" operator="equal">
      <formula>"N/T"</formula>
    </cfRule>
  </conditionalFormatting>
  <conditionalFormatting sqref="D1691:D1725">
    <cfRule type="cellIs" dxfId="232" priority="19" stopIfTrue="1" operator="equal">
      <formula>"N/D"</formula>
    </cfRule>
    <cfRule type="cellIs" dxfId="231" priority="13" stopIfTrue="1" operator="equal">
      <formula>"-"</formula>
    </cfRule>
    <cfRule type="cellIs" dxfId="230" priority="18" stopIfTrue="1" operator="equal">
      <formula>"N/T"</formula>
    </cfRule>
    <cfRule type="cellIs" dxfId="229" priority="17" stopIfTrue="1" operator="equal">
      <formula>"N/A"</formula>
    </cfRule>
    <cfRule type="cellIs" dxfId="228" priority="16" stopIfTrue="1" operator="equal">
      <formula>"Falla"</formula>
    </cfRule>
    <cfRule type="cellIs" dxfId="227" priority="15" stopIfTrue="1" operator="equal">
      <formula>"Pasa"</formula>
    </cfRule>
    <cfRule type="expression" dxfId="226" priority="14" stopIfTrue="1">
      <formula>ISBLANK(D1691)</formula>
    </cfRule>
  </conditionalFormatting>
  <conditionalFormatting sqref="E19:E53 E57:E91 E95:E129 E133:E167 E171:E205 E209:E243 E247:E281 E285:E319 E323:E357 E361:E395 E399:E433 E437:E471 E475:E509 E513:E547 E551:E585 E589:E623 E627:E661 E665:E699 E703:E737">
    <cfRule type="cellIs" dxfId="225" priority="687" stopIfTrue="1" operator="equal">
      <formula>"ERR"</formula>
    </cfRule>
  </conditionalFormatting>
  <conditionalFormatting sqref="E741:E775 E779:E813 E817:E851 E855:E889 E893:E927 E931:E965 E1007:E1041 E1045:E1079 E1083:E1117 E1121:E1155 E1159:E1193 E1197:E1231 E1235:E1269 E1273:E1307">
    <cfRule type="cellIs" dxfId="224" priority="566" stopIfTrue="1" operator="equal">
      <formula>"ERR"</formula>
    </cfRule>
  </conditionalFormatting>
  <conditionalFormatting sqref="E969:E1004">
    <cfRule type="cellIs" dxfId="223" priority="407" stopIfTrue="1" operator="equal">
      <formula>"ERR"</formula>
    </cfRule>
  </conditionalFormatting>
  <conditionalFormatting sqref="E1311:E1345 E1387:E1421 E1425:E1459 E1463:E1497 E1501:E1535 E1539:E1573 E1577:E1611">
    <cfRule type="cellIs" dxfId="222" priority="475" operator="equal">
      <formula>"ERR"</formula>
    </cfRule>
  </conditionalFormatting>
  <conditionalFormatting sqref="E1349:E1383">
    <cfRule type="cellIs" dxfId="221" priority="394" operator="equal">
      <formula>"ERR"</formula>
    </cfRule>
  </conditionalFormatting>
  <conditionalFormatting sqref="E1615:E1649 E1653:E1687">
    <cfRule type="cellIs" dxfId="220" priority="426" stopIfTrue="1" operator="equal">
      <formula>"ERR"</formula>
    </cfRule>
  </conditionalFormatting>
  <conditionalFormatting sqref="E1691:E1725">
    <cfRule type="cellIs" dxfId="219"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expression" dxfId="218" priority="681" stopIfTrue="1">
      <formula>ISBLANK(F19)</formula>
    </cfRule>
    <cfRule type="cellIs" dxfId="217" priority="683" stopIfTrue="1" operator="equal">
      <formula>"Falla"</formula>
    </cfRule>
    <cfRule type="cellIs" dxfId="216" priority="684" stopIfTrue="1" operator="equal">
      <formula>"N/A"</formula>
    </cfRule>
    <cfRule type="cellIs" dxfId="215" priority="685" stopIfTrue="1" operator="equal">
      <formula>"N/T"</formula>
    </cfRule>
    <cfRule type="cellIs" dxfId="214" priority="686" stopIfTrue="1" operator="equal">
      <formula>"N/D"</formula>
    </cfRule>
    <cfRule type="cellIs" dxfId="213" priority="682" stopIfTrue="1" operator="equal">
      <formula>"Pasa"</formula>
    </cfRule>
  </conditionalFormatting>
  <conditionalFormatting sqref="K23:K24">
    <cfRule type="cellIs" dxfId="212" priority="5" stopIfTrue="1" operator="equal">
      <formula>"N/T"</formula>
    </cfRule>
    <cfRule type="cellIs" dxfId="211" priority="4" stopIfTrue="1" operator="equal">
      <formula>"N/A"</formula>
    </cfRule>
    <cfRule type="expression" dxfId="210" priority="1" stopIfTrue="1">
      <formula>ISBLANK(K23)</formula>
    </cfRule>
    <cfRule type="cellIs" dxfId="209" priority="2" stopIfTrue="1" operator="equal">
      <formula>"Pasa"</formula>
    </cfRule>
    <cfRule type="cellIs" dxfId="208" priority="6" stopIfTrue="1" operator="equal">
      <formula>"N/D"</formula>
    </cfRule>
    <cfRule type="cellIs" dxfId="207" priority="3" stopIfTrue="1" operator="equal">
      <formula>"Falla"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RASERO LOPEZ, MACARENA</cp:lastModifiedBy>
  <cp:revision>109</cp:revision>
  <dcterms:created xsi:type="dcterms:W3CDTF">2020-03-26T13:14:48Z</dcterms:created>
  <dcterms:modified xsi:type="dcterms:W3CDTF">2026-06-22T09:02:54Z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MSIP_Label_ecb69475-382c-4c7a-b21d-8ca64eeef1bd_Enabled">
    <vt:lpwstr>true</vt:lpwstr>
  </property>
  <property fmtid="{D5CDD505-2E9C-101B-9397-08002B2CF9AE}" pid="10" name="MSIP_Label_ecb69475-382c-4c7a-b21d-8ca64eeef1bd_SetDate">
    <vt:lpwstr>2024-01-30T07:33:35Z</vt:lpwstr>
  </property>
  <property fmtid="{D5CDD505-2E9C-101B-9397-08002B2CF9AE}" pid="11" name="MSIP_Label_ecb69475-382c-4c7a-b21d-8ca64eeef1bd_Method">
    <vt:lpwstr>Standard</vt:lpwstr>
  </property>
  <property fmtid="{D5CDD505-2E9C-101B-9397-08002B2CF9AE}" pid="12" name="MSIP_Label_ecb69475-382c-4c7a-b21d-8ca64eeef1bd_Name">
    <vt:lpwstr>Eviden For Internal Use - All Employees</vt:lpwstr>
  </property>
  <property fmtid="{D5CDD505-2E9C-101B-9397-08002B2CF9AE}" pid="13" name="MSIP_Label_ecb69475-382c-4c7a-b21d-8ca64eeef1bd_SiteId">
    <vt:lpwstr>7d1c7785-2d8a-437d-b842-1ed5d8fbe00a</vt:lpwstr>
  </property>
  <property fmtid="{D5CDD505-2E9C-101B-9397-08002B2CF9AE}" pid="14" name="MSIP_Label_ecb69475-382c-4c7a-b21d-8ca64eeef1bd_ActionId">
    <vt:lpwstr>c808d2f8-2f95-44c6-bae1-e33b22a1b79f</vt:lpwstr>
  </property>
  <property fmtid="{D5CDD505-2E9C-101B-9397-08002B2CF9AE}" pid="15" name="MSIP_Label_ecb69475-382c-4c7a-b21d-8ca64eeef1bd_ContentBits">
    <vt:lpwstr>0</vt:lpwstr>
  </property>
</Properties>
</file>